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4220" windowHeight="9276" activeTab="0"/>
  </bookViews>
  <sheets>
    <sheet name="Artifacts" sheetId="1" r:id="rId1"/>
    <sheet name="Investments" sheetId="2" r:id="rId2"/>
    <sheet name="Potions" sheetId="3" r:id="rId3"/>
    <sheet name="Random #s" sheetId="4" r:id="rId4"/>
    <sheet name="Lists" sheetId="5" r:id="rId5"/>
  </sheets>
  <definedNames>
    <definedName name="CostList">'Lists'!$AM$3:$AM$376</definedName>
    <definedName name="CostTable">'Lists'!$AM$3:$AN$376</definedName>
    <definedName name="Language">'Lists'!$M$62:$M$63</definedName>
    <definedName name="LanguageEXP">'Lists'!$M$62:$X$63</definedName>
    <definedName name="PrepCosts">'Artifacts'!$Y$4:$AA$10</definedName>
    <definedName name="PrepRitual">'Artifacts'!$Y$4:$Y$10</definedName>
    <definedName name="ShapingCost">'Artifacts'!$A$3:$L$19</definedName>
    <definedName name="SkillsEXP">'Lists'!$M$3:$X$60</definedName>
    <definedName name="SkillsList">'Lists'!$M$3:$M$60</definedName>
    <definedName name="TalentandSpellList">'Lists'!$C$3:$C$323</definedName>
    <definedName name="TalentSpellEXPTable">'Lists'!$C$3:$J$323</definedName>
    <definedName name="WeaponsEXP">'Lists'!$Z$3:$AK$91</definedName>
    <definedName name="WeaponsList">'Lists'!$Z$3:$Z$91</definedName>
  </definedNames>
  <calcPr fullCalcOnLoad="1"/>
</workbook>
</file>

<file path=xl/sharedStrings.xml><?xml version="1.0" encoding="utf-8"?>
<sst xmlns="http://schemas.openxmlformats.org/spreadsheetml/2006/main" count="2206" uniqueCount="923">
  <si>
    <t>Time</t>
  </si>
  <si>
    <t>Shaping</t>
  </si>
  <si>
    <t>Index</t>
  </si>
  <si>
    <t>01-50</t>
  </si>
  <si>
    <t>51-125</t>
  </si>
  <si>
    <t>126-200</t>
  </si>
  <si>
    <t>201-300</t>
  </si>
  <si>
    <t>301-400</t>
  </si>
  <si>
    <t>401-500</t>
  </si>
  <si>
    <t>501-600</t>
  </si>
  <si>
    <t>601-750</t>
  </si>
  <si>
    <t>751-900</t>
  </si>
  <si>
    <t>901-1100</t>
  </si>
  <si>
    <t>1101-1400</t>
  </si>
  <si>
    <t>1401-1700</t>
  </si>
  <si>
    <t>1701-2000</t>
  </si>
  <si>
    <t>2001-2500</t>
  </si>
  <si>
    <t>2501-3000</t>
  </si>
  <si>
    <t>3001-4000</t>
  </si>
  <si>
    <t>4000+</t>
  </si>
  <si>
    <t>Cost</t>
  </si>
  <si>
    <t>Endurance</t>
  </si>
  <si>
    <t>Lost</t>
  </si>
  <si>
    <t>Amulet</t>
  </si>
  <si>
    <t>Prep Cost</t>
  </si>
  <si>
    <t>Arms &amp; Armor</t>
  </si>
  <si>
    <t>Clothing</t>
  </si>
  <si>
    <t>Furniture</t>
  </si>
  <si>
    <t>Talismans</t>
  </si>
  <si>
    <t>Staves &amp; Wands</t>
  </si>
  <si>
    <t>Greater</t>
  </si>
  <si>
    <t>Artifacts</t>
  </si>
  <si>
    <t xml:space="preserve">Rank of </t>
  </si>
  <si>
    <t>Shoppe</t>
  </si>
  <si>
    <t>Stock</t>
  </si>
  <si>
    <t>Status</t>
  </si>
  <si>
    <t>Maint.</t>
  </si>
  <si>
    <t>Base Item</t>
  </si>
  <si>
    <t>Spell</t>
  </si>
  <si>
    <t>Exp. Mult</t>
  </si>
  <si>
    <t>Rank with</t>
  </si>
  <si>
    <t>Investment</t>
  </si>
  <si>
    <t>Binding</t>
  </si>
  <si>
    <t>Permanent</t>
  </si>
  <si>
    <t>Temporary</t>
  </si>
  <si>
    <t>Magical Potions</t>
  </si>
  <si>
    <t>Alchemist</t>
  </si>
  <si>
    <t>Rank</t>
  </si>
  <si>
    <t xml:space="preserve">Base </t>
  </si>
  <si>
    <t>Value</t>
  </si>
  <si>
    <t>Healing Potions</t>
  </si>
  <si>
    <t>Rk</t>
  </si>
  <si>
    <t>Healer</t>
  </si>
  <si>
    <t>D6 Rolls</t>
  </si>
  <si>
    <t>D10 Rolls</t>
  </si>
  <si>
    <t>D20 Rolls</t>
  </si>
  <si>
    <t>D100 Rolls</t>
  </si>
  <si>
    <t>Lath</t>
  </si>
  <si>
    <t>Adrack</t>
  </si>
  <si>
    <t>College</t>
  </si>
  <si>
    <t>Spell/Talent</t>
  </si>
  <si>
    <t>EXP</t>
  </si>
  <si>
    <t>Ensorcelments and Enchantments</t>
  </si>
  <si>
    <t>Number</t>
  </si>
  <si>
    <t>T-1</t>
  </si>
  <si>
    <t>G-1</t>
  </si>
  <si>
    <t>G-2</t>
  </si>
  <si>
    <t>G-3</t>
  </si>
  <si>
    <t>G-4</t>
  </si>
  <si>
    <t>G-5</t>
  </si>
  <si>
    <t>G-6</t>
  </si>
  <si>
    <t>G-7</t>
  </si>
  <si>
    <t>G-8</t>
  </si>
  <si>
    <t>G-9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</si>
  <si>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</si>
  <si>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</si>
  <si>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</si>
  <si>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</si>
  <si>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</si>
  <si>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</si>
  <si>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</si>
  <si>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</si>
  <si>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</si>
  <si>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</si>
  <si>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</si>
  <si>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</si>
  <si>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</si>
  <si>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Sorceries of the Mind</t>
  </si>
  <si>
    <t>T-2</t>
  </si>
  <si>
    <t>T-3</t>
  </si>
  <si>
    <t>G-10</t>
  </si>
  <si>
    <t>Illusions</t>
  </si>
  <si>
    <t>Naming</t>
  </si>
  <si>
    <t>Air Magics</t>
  </si>
  <si>
    <t>G-11</t>
  </si>
  <si>
    <t>G-12</t>
  </si>
  <si>
    <t>G-13</t>
  </si>
  <si>
    <t>G-14</t>
  </si>
  <si>
    <t>S-14</t>
  </si>
  <si>
    <t>S-15</t>
  </si>
  <si>
    <t>S-16</t>
  </si>
  <si>
    <t>S-17</t>
  </si>
  <si>
    <t>S-18</t>
  </si>
  <si>
    <t>Water Magics</t>
  </si>
  <si>
    <t>Fire Magics</t>
  </si>
  <si>
    <t>Earth Magics</t>
  </si>
  <si>
    <t>Celestial Magics</t>
  </si>
  <si>
    <t>E&amp;E: Witchsight</t>
  </si>
  <si>
    <t>E&amp;E: Charming</t>
  </si>
  <si>
    <t>E&amp;E: Telekinesis</t>
  </si>
  <si>
    <t>E&amp;E: Walking Unseen</t>
  </si>
  <si>
    <t>E&amp;E: Speaking to Enchanted Creatures</t>
  </si>
  <si>
    <t>E&amp;E: Location</t>
  </si>
  <si>
    <t>E&amp;E: Mass Charming</t>
  </si>
  <si>
    <t>E&amp;E: Invisibility</t>
  </si>
  <si>
    <t>E&amp;E: Evil Eye</t>
  </si>
  <si>
    <t>E&amp;E: Ventriloquism</t>
  </si>
  <si>
    <t>E&amp;E: Bolt of Energy</t>
  </si>
  <si>
    <t>E&amp;E: Opening</t>
  </si>
  <si>
    <t>E&amp;E: Enchanting Weapons</t>
  </si>
  <si>
    <t>E&amp;E: Web of Entanblement</t>
  </si>
  <si>
    <t>E&amp;E: Mage Lock</t>
  </si>
  <si>
    <t>E&amp;E: Enhancing Enchantments</t>
  </si>
  <si>
    <t>E&amp;E: Levitation</t>
  </si>
  <si>
    <t>E&amp;E: Enchanting Armor</t>
  </si>
  <si>
    <t>E&amp;E: Wizard's Eye</t>
  </si>
  <si>
    <t>E&amp;E: Slowness</t>
  </si>
  <si>
    <t>E&amp;E: Quickness</t>
  </si>
  <si>
    <t>Mind: Resist Temperature</t>
  </si>
  <si>
    <t>Mind: Resist Pain</t>
  </si>
  <si>
    <t>Mind: Sensitivity to Danger</t>
  </si>
  <si>
    <t>Mind: Extrasensory Perception</t>
  </si>
  <si>
    <t>Mind: Limited Precognition</t>
  </si>
  <si>
    <t>Mind: Mind Cloak</t>
  </si>
  <si>
    <t>Mind: Empathy</t>
  </si>
  <si>
    <t>Mind: Hypnotism</t>
  </si>
  <si>
    <t>Mind: Controlling Animals</t>
  </si>
  <si>
    <t>Mind: Controlling Person</t>
  </si>
  <si>
    <t>Mind: Mental Attack</t>
  </si>
  <si>
    <t>Mind: Telepathy</t>
  </si>
  <si>
    <t>Mind: Phantasm</t>
  </si>
  <si>
    <t>Mind: Molecular Disruption</t>
  </si>
  <si>
    <t>Mind: Molecular Rearrangement</t>
  </si>
  <si>
    <t>Mind: Force Shield</t>
  </si>
  <si>
    <t>Mind: Healing</t>
  </si>
  <si>
    <t>Mind: Invisibility</t>
  </si>
  <si>
    <t>Mind: Telekinesis</t>
  </si>
  <si>
    <t>Mind: Telekinetic Rage</t>
  </si>
  <si>
    <t>Illusions: Witchsight</t>
  </si>
  <si>
    <t>Illusions: Projected Image</t>
  </si>
  <si>
    <t>Illusions: Flash of Light</t>
  </si>
  <si>
    <t>Illusions: Visual Illusion</t>
  </si>
  <si>
    <t>Illusions: Audio Illusion</t>
  </si>
  <si>
    <t>Illusions: Olfactory Illusion</t>
  </si>
  <si>
    <t>Illusions: Tactile Illusion</t>
  </si>
  <si>
    <t>Naming: Detect Aura</t>
  </si>
  <si>
    <t>Naming: Charming</t>
  </si>
  <si>
    <t>Naming: Compelling Obedience</t>
  </si>
  <si>
    <t>Air: Predict Weather</t>
  </si>
  <si>
    <t>Air: Resistance to Cold</t>
  </si>
  <si>
    <t>Air: Ice Creation</t>
  </si>
  <si>
    <t>Air: Mage Wind</t>
  </si>
  <si>
    <t>Air: Communication with Avians</t>
  </si>
  <si>
    <t>Air: Wind Whistle</t>
  </si>
  <si>
    <t>Air: Conjuring Mist</t>
  </si>
  <si>
    <t>Air: Summoning Avians</t>
  </si>
  <si>
    <t>Air: Detecting Fumes</t>
  </si>
  <si>
    <t>Air: Windstorm</t>
  </si>
  <si>
    <t>Air: Storm Calling</t>
  </si>
  <si>
    <t>Air: Ice Construction</t>
  </si>
  <si>
    <t>Air: Controlling Avians</t>
  </si>
  <si>
    <t>Air: Freezing Wind</t>
  </si>
  <si>
    <t>Air: Ice Projectiles</t>
  </si>
  <si>
    <t>Air: Hibernation</t>
  </si>
  <si>
    <t>Air: Weapon of Cold</t>
  </si>
  <si>
    <t>Air: Barrier of Wind</t>
  </si>
  <si>
    <t>Air: Snow Simulacrum</t>
  </si>
  <si>
    <t>Air: Wall of Ice</t>
  </si>
  <si>
    <t>Air: Ray of Cold</t>
  </si>
  <si>
    <t>Air: Sleep Gas</t>
  </si>
  <si>
    <t>Air: Windwalking</t>
  </si>
  <si>
    <t>Air: Whirlwind Vortex</t>
  </si>
  <si>
    <t>Air: Frozen Doom</t>
  </si>
  <si>
    <t>Water: Predict Weather</t>
  </si>
  <si>
    <t>Water: Calming Waters</t>
  </si>
  <si>
    <t>Water: Wave Making</t>
  </si>
  <si>
    <t>Water: Speaking to Seabirds</t>
  </si>
  <si>
    <t>Water: Flotation</t>
  </si>
  <si>
    <t>Water: Navigation</t>
  </si>
  <si>
    <t>Water: Water Purification</t>
  </si>
  <si>
    <t>Water: Speaking with Aquatic Mammals</t>
  </si>
  <si>
    <t>Water: Summoning Aquatic Mammals</t>
  </si>
  <si>
    <t>Water: Mage Wind</t>
  </si>
  <si>
    <t>Water: Water Creation</t>
  </si>
  <si>
    <t>Water: Watersight</t>
  </si>
  <si>
    <t>Water: Water Breathing</t>
  </si>
  <si>
    <t>Water: Ship Binding</t>
  </si>
  <si>
    <t>Water: Seablessing</t>
  </si>
  <si>
    <t>Water: Liquid Purification</t>
  </si>
  <si>
    <t>Water: Liquid Transmutation</t>
  </si>
  <si>
    <t>Water: Waters of Healing</t>
  </si>
  <si>
    <t>Water: Waters of Strength</t>
  </si>
  <si>
    <t>Water: Summoning Fish</t>
  </si>
  <si>
    <t>Water: Controlling Fish</t>
  </si>
  <si>
    <t>Water: Controlling Sea Mammals</t>
  </si>
  <si>
    <t>Water: Waters of Vision</t>
  </si>
  <si>
    <t>Water: Windsail</t>
  </si>
  <si>
    <t>Water: Rain Calling</t>
  </si>
  <si>
    <t>Water: Maelstrong</t>
  </si>
  <si>
    <t>Water: Waterspout</t>
  </si>
  <si>
    <t>Fire: Infravision</t>
  </si>
  <si>
    <t>Fire: Pyrogenesis</t>
  </si>
  <si>
    <t>Fire: Heat Production</t>
  </si>
  <si>
    <t>Fire: Fire Resistance</t>
  </si>
  <si>
    <t>Fire: Light</t>
  </si>
  <si>
    <t>Fire: Temperature Alteration</t>
  </si>
  <si>
    <t>Fire: Wall of Smoke</t>
  </si>
  <si>
    <t>Fire: Fireproofing</t>
  </si>
  <si>
    <t>Fire: Protection Against Magical Fire</t>
  </si>
  <si>
    <t>Fire: Wall of Fire</t>
  </si>
  <si>
    <t>Fire: Bolt of Fire</t>
  </si>
  <si>
    <t>Fire: Ball of Fire</t>
  </si>
  <si>
    <t>Fire: Web of Fire</t>
  </si>
  <si>
    <t>Fire: Self-immolation</t>
  </si>
  <si>
    <t>Fire: Imploding Fireball</t>
  </si>
  <si>
    <t>Fire: Weapon of Flames</t>
  </si>
  <si>
    <t>Fire: Demonic Firebolt</t>
  </si>
  <si>
    <t>Fire: Hellfire</t>
  </si>
  <si>
    <t>Fire: Dragon Flames</t>
  </si>
  <si>
    <t>Fire: Web of Dragon Flames</t>
  </si>
  <si>
    <t>Fire: Storm of Fire</t>
  </si>
  <si>
    <t>Fire: Malignant Flames</t>
  </si>
  <si>
    <t>Fire: Incineration</t>
  </si>
  <si>
    <t>Fire: Summoning Salamander</t>
  </si>
  <si>
    <t>Fire: Summoning Efreet</t>
  </si>
  <si>
    <t>Name of Talent/Spell:</t>
  </si>
  <si>
    <t>Earth: Detect Aura</t>
  </si>
  <si>
    <t>Earth: Tunneling</t>
  </si>
  <si>
    <t>Earth: Converse with Animals</t>
  </si>
  <si>
    <t>Earth: Converse with Plants</t>
  </si>
  <si>
    <t>Earth: Controlling Animals</t>
  </si>
  <si>
    <t>Earth: Blending</t>
  </si>
  <si>
    <t>Earth: Walking Unseen</t>
  </si>
  <si>
    <t>Earth: Healing</t>
  </si>
  <si>
    <t>Earth: Detecting Traps and Snares</t>
  </si>
  <si>
    <t>Earth: Detecting Poisons</t>
  </si>
  <si>
    <t>Earth: Lesser Enchantment</t>
  </si>
  <si>
    <t>Earth: Herbal Lore</t>
  </si>
  <si>
    <t>Earth: Tracking</t>
  </si>
  <si>
    <t>Earth: Earth Hammer</t>
  </si>
  <si>
    <t>Earth: Hands of Earth</t>
  </si>
  <si>
    <t>Earth: Strength of Stone</t>
  </si>
  <si>
    <t>Earth: Armor of Earth</t>
  </si>
  <si>
    <t>Earth: Diamond Weapon</t>
  </si>
  <si>
    <t>Earth: Gem Creation</t>
  </si>
  <si>
    <t>Earth: Animal Growth</t>
  </si>
  <si>
    <t>Earth: Enchanting Plants</t>
  </si>
  <si>
    <t>Earth: Binding Animals</t>
  </si>
  <si>
    <t>Earth: Conjuring and Controlling Earth Elementals</t>
  </si>
  <si>
    <t>Earth: Sinking Doom</t>
  </si>
  <si>
    <t>Earth: Wall of Stone</t>
  </si>
  <si>
    <t>Earth: Wall of Iron</t>
  </si>
  <si>
    <t>Earth: Trollskin</t>
  </si>
  <si>
    <t>Earth: Smoking Magma</t>
  </si>
  <si>
    <t>Earth: Diamond Javelins</t>
  </si>
  <si>
    <t>Earth: Earth Transformation</t>
  </si>
  <si>
    <t>Celestial: Speak to Shadow Creatures</t>
  </si>
  <si>
    <t>Celestial: Night Vision</t>
  </si>
  <si>
    <t>Celestial: Detect Aura</t>
  </si>
  <si>
    <t>Celestial: Blending</t>
  </si>
  <si>
    <t>Celestial: Light</t>
  </si>
  <si>
    <t>Celestial: Darkness</t>
  </si>
  <si>
    <t>Celestial: Shadow Form</t>
  </si>
  <si>
    <t>Celestial: Wall of Starlight</t>
  </si>
  <si>
    <t>Celestial: Wall of Darkness</t>
  </si>
  <si>
    <t>Celestial: Witchsight</t>
  </si>
  <si>
    <t>Celestial: Strength of Darkness</t>
  </si>
  <si>
    <t>Celestial: Walking Unseen</t>
  </si>
  <si>
    <t>Celestial: Healing</t>
  </si>
  <si>
    <t>Celestial: Creating Shadow-Starsword</t>
  </si>
  <si>
    <t>Celestial: Starfire</t>
  </si>
  <si>
    <t>Celestial: Meteor</t>
  </si>
  <si>
    <t>Celestial: Shadow Wings</t>
  </si>
  <si>
    <t>Celestial: Web of Starlight</t>
  </si>
  <si>
    <t>Celestial: Web of Blackness</t>
  </si>
  <si>
    <t>Celestial: Meteor Swarm</t>
  </si>
  <si>
    <t>Celestial: Dwarf Star</t>
  </si>
  <si>
    <t>Celestial: Black Fire</t>
  </si>
  <si>
    <t>Celestial: Shadow Walking</t>
  </si>
  <si>
    <t>Celestial: Whitefire</t>
  </si>
  <si>
    <t>Celestial: Fear</t>
  </si>
  <si>
    <t>Necromantic Conjurations</t>
  </si>
  <si>
    <t>Necromancy:  Ask the Dead</t>
  </si>
  <si>
    <t>Black Magics</t>
  </si>
  <si>
    <t>Necromancy:  Conjuring Darkness</t>
  </si>
  <si>
    <t>Necromancy:  Putrescence</t>
  </si>
  <si>
    <t>Necromancy:  Obscurement</t>
  </si>
  <si>
    <t>Necromancy:  Fire and Brimstone</t>
  </si>
  <si>
    <t>Necromancy:  Heating Metal</t>
  </si>
  <si>
    <t>Necromancy:  Harming Entity</t>
  </si>
  <si>
    <t>Necromancy:  Noxious Vapors</t>
  </si>
  <si>
    <t>Necromancy:  Warping Wood</t>
  </si>
  <si>
    <t>Necromancy:  Ram of Force</t>
  </si>
  <si>
    <t>Necromancy:  Vapor Breathing</t>
  </si>
  <si>
    <t>Necromancy:  Causing Wounds</t>
  </si>
  <si>
    <t>Necromancy:  Wall of Force</t>
  </si>
  <si>
    <t>Necromancy:  Wall of Bones</t>
  </si>
  <si>
    <t>Necromancy:  Fear</t>
  </si>
  <si>
    <t>Necromancy:  Mass Fear</t>
  </si>
  <si>
    <t>Necromancy:  Scarring Terrain</t>
  </si>
  <si>
    <t>Necromancy:  Animation of the Dead</t>
  </si>
  <si>
    <t>Necromancy:  Wraithcloak</t>
  </si>
  <si>
    <t>Necromancy:  Shadowed Weapon</t>
  </si>
  <si>
    <t>Necromancy:  Hand of Death</t>
  </si>
  <si>
    <t>Necromancy:  Hellfire</t>
  </si>
  <si>
    <t>Necromancy:  Life Draining</t>
  </si>
  <si>
    <t>Necromancy:  Agony</t>
  </si>
  <si>
    <t>Necromancy:  Phantasm</t>
  </si>
  <si>
    <t>Black: Witchsight</t>
  </si>
  <si>
    <t>Black: Projected Image</t>
  </si>
  <si>
    <t>Black: Special Alchemy</t>
  </si>
  <si>
    <t>Black: Fear</t>
  </si>
  <si>
    <t>Black: Darkness</t>
  </si>
  <si>
    <t>Black: Walking Unseen</t>
  </si>
  <si>
    <t>Black: Damnum Minatum</t>
  </si>
  <si>
    <t>Black: Storm Calling</t>
  </si>
  <si>
    <t>Black: Wind Whistle</t>
  </si>
  <si>
    <t>Black: Protection Against Were-Creatures</t>
  </si>
  <si>
    <t>Black: Summoning Enchanted Creature</t>
  </si>
  <si>
    <t>Black: Putrescence</t>
  </si>
  <si>
    <t>Black: Harming Entity</t>
  </si>
  <si>
    <t>Black: Igniting Flammables</t>
  </si>
  <si>
    <t>Black: Hypnotism</t>
  </si>
  <si>
    <t>Black: Mind Cloak</t>
  </si>
  <si>
    <t>Black: Call Master</t>
  </si>
  <si>
    <t>Black: Converse with Animals</t>
  </si>
  <si>
    <t>Black: Nightvision</t>
  </si>
  <si>
    <t>Black: Blending</t>
  </si>
  <si>
    <t>Black: Blight of Crops</t>
  </si>
  <si>
    <t>Black: Blessing on Crops</t>
  </si>
  <si>
    <t>Black: Pestilence on Livestock</t>
  </si>
  <si>
    <t>Black: Blessing on Livestock</t>
  </si>
  <si>
    <t>Black: Controlling Animals</t>
  </si>
  <si>
    <t>Black: Evil Eye</t>
  </si>
  <si>
    <t>Black: Causing Disease</t>
  </si>
  <si>
    <t>Black: Blessing or Curse of Unborn Child</t>
  </si>
  <si>
    <t>Black: Virility</t>
  </si>
  <si>
    <t>Black: Creative Restorative</t>
  </si>
  <si>
    <t>Black: Wall of Bones</t>
  </si>
  <si>
    <t>Black: Mass Fear</t>
  </si>
  <si>
    <t>S-19</t>
  </si>
  <si>
    <t>S-20</t>
  </si>
  <si>
    <t>S-21</t>
  </si>
  <si>
    <t>S-22</t>
  </si>
  <si>
    <t>Black: Agony</t>
  </si>
  <si>
    <t>Black: Fire and Brimstone</t>
  </si>
  <si>
    <t>Black: Animation of the Dead</t>
  </si>
  <si>
    <t>Black: Hellfire</t>
  </si>
  <si>
    <t>Black: Shadow Wings</t>
  </si>
  <si>
    <t>Black: Skin Change</t>
  </si>
  <si>
    <t>Black: Earth Tremor</t>
  </si>
  <si>
    <t>General</t>
  </si>
  <si>
    <t>General Knowledge Counter Spell</t>
  </si>
  <si>
    <t>Speckial Knowledge Counter Spell</t>
  </si>
  <si>
    <t>Geas</t>
  </si>
  <si>
    <t>Major Curse</t>
  </si>
  <si>
    <t>Lesser Summonings</t>
  </si>
  <si>
    <t>L. Summoning: Communicate with Lesser Beasts</t>
  </si>
  <si>
    <t>L. Summoning: Detect Aura</t>
  </si>
  <si>
    <t>L. Summoning: Summoning Small Land Mammals</t>
  </si>
  <si>
    <t>L. Summoning: Summoning Fish and Other Aquatics</t>
  </si>
  <si>
    <t>L. Summoning: Summoning Lizards and Kindred, Snakes, Insects, and Spiders</t>
  </si>
  <si>
    <t>L. Summoning: Summoning Common Avians</t>
  </si>
  <si>
    <t>L. Summoning: Summoning Riding Beasts</t>
  </si>
  <si>
    <t>L. Summoning: Summoning Apes and Prehumans</t>
  </si>
  <si>
    <t>L. Summoning: Summoning Felines</t>
  </si>
  <si>
    <t>L. Summoning: Binding Lesser Beasts</t>
  </si>
  <si>
    <t>L. Summoning: Summoning Lesser Undead</t>
  </si>
  <si>
    <t>L. Summoning: Communication with Lesser Undead</t>
  </si>
  <si>
    <t>L. Summoning: Wall of Thorns</t>
  </si>
  <si>
    <t>L. Summoning: Summoning Fog</t>
  </si>
  <si>
    <t>L. Summoning: Empath</t>
  </si>
  <si>
    <t>L. Summoning: Summon Energy</t>
  </si>
  <si>
    <t>L. Summoning: Communication with Fantastical Beasts</t>
  </si>
  <si>
    <t>L. Summoning: Communication with Greater Sentients</t>
  </si>
  <si>
    <t>L. Summoning: Summoning Great Land Mammals</t>
  </si>
  <si>
    <t>L. Summoning: Summoning Aquatic Mammals</t>
  </si>
  <si>
    <t>L. Summoning: Summoning Humanoids</t>
  </si>
  <si>
    <t>L. Summoning: Summoning Fairy Folk</t>
  </si>
  <si>
    <t>L. Summoning: Binding Greater Beasts</t>
  </si>
  <si>
    <t>L. Summoning: Controlling Persons</t>
  </si>
  <si>
    <t>L. Summoning: Using Animal Senses</t>
  </si>
  <si>
    <t>L. Summoning: Summoning Entities of Light</t>
  </si>
  <si>
    <t>L. Summoning: Summoning Entities of Darkness</t>
  </si>
  <si>
    <t>L. Summoning: Summoning Fantastical Avians</t>
  </si>
  <si>
    <t>L. Summoning: Summoning Fantastical Monsters</t>
  </si>
  <si>
    <t>L. Summoning: Summoning Greater Undead</t>
  </si>
  <si>
    <t>L. Summoning: Summoning Summonables</t>
  </si>
  <si>
    <t>L. Summoning: Bodily Possession</t>
  </si>
  <si>
    <t>L. Summoning: Summoning Dragons</t>
  </si>
  <si>
    <t>Rune Magics</t>
  </si>
  <si>
    <t>T-4</t>
  </si>
  <si>
    <t>T-5</t>
  </si>
  <si>
    <t>Rune: Read Ancient Languages</t>
  </si>
  <si>
    <t>Rune: Decipher Codes and Ciphers</t>
  </si>
  <si>
    <t>Rune: Read Runesticks</t>
  </si>
  <si>
    <t>Rune: Create Codes and Ciphers</t>
  </si>
  <si>
    <t>Rune: Summon Wand</t>
  </si>
  <si>
    <t>Rune: Detect Aura</t>
  </si>
  <si>
    <t>Rune: Darkness</t>
  </si>
  <si>
    <t>Rune: Light</t>
  </si>
  <si>
    <t>Rune: Pyrogenesis</t>
  </si>
  <si>
    <t>Rune: Curse</t>
  </si>
  <si>
    <t>Rune: Illusion</t>
  </si>
  <si>
    <t>Rune: Control Entity</t>
  </si>
  <si>
    <t>Rune: Purification</t>
  </si>
  <si>
    <t>Rune: Runelock</t>
  </si>
  <si>
    <t>Rune: Runewall</t>
  </si>
  <si>
    <t>Rune: Summoning Totem Spirits</t>
  </si>
  <si>
    <t>Rune: Creating Rune Portal</t>
  </si>
  <si>
    <t>Rune: Visitation</t>
  </si>
  <si>
    <t>Rune: Truth</t>
  </si>
  <si>
    <t>Rune: Banishment</t>
  </si>
  <si>
    <t>Rune: Smite</t>
  </si>
  <si>
    <t>Rune: Creating Runeweapon</t>
  </si>
  <si>
    <t>Rune: Binding</t>
  </si>
  <si>
    <t>Shaping Magics</t>
  </si>
  <si>
    <t>Shaping: Detect Enchantment</t>
  </si>
  <si>
    <t>Shaping: Mending</t>
  </si>
  <si>
    <t>Shaping: Enchanting Weapons</t>
  </si>
  <si>
    <t>Shaping: Enchanting Armor</t>
  </si>
  <si>
    <t>Shaping: Congeal Air</t>
  </si>
  <si>
    <t>Shaping: Congeal Water</t>
  </si>
  <si>
    <t>Shaping: Creating Mudslick</t>
  </si>
  <si>
    <t>Shaping: Shaping Elements</t>
  </si>
  <si>
    <t>Shaping: Neutralizing Golems</t>
  </si>
  <si>
    <t>Shaping: Binding Golems</t>
  </si>
  <si>
    <t>Shaping: Activating Golems</t>
  </si>
  <si>
    <t>Shaping Index Calculator</t>
  </si>
  <si>
    <t>Talents and Spells with Experience Multiples</t>
  </si>
  <si>
    <t>Skills</t>
  </si>
  <si>
    <t>Spells and Talents List</t>
  </si>
  <si>
    <t>Artisan</t>
  </si>
  <si>
    <t>Armourer</t>
  </si>
  <si>
    <t>Assassin</t>
  </si>
  <si>
    <t>Astrologer</t>
  </si>
  <si>
    <t>Beastmaster</t>
  </si>
  <si>
    <t>Climbing</t>
  </si>
  <si>
    <t>Courtier</t>
  </si>
  <si>
    <t>Flying</t>
  </si>
  <si>
    <t>Herbalist</t>
  </si>
  <si>
    <t>Horsemanship</t>
  </si>
  <si>
    <t>Language</t>
  </si>
  <si>
    <t>Mechanician</t>
  </si>
  <si>
    <t>Merchant</t>
  </si>
  <si>
    <t>Military Scientist</t>
  </si>
  <si>
    <t>Navigator</t>
  </si>
  <si>
    <t>Philosopher</t>
  </si>
  <si>
    <t>Ranger</t>
  </si>
  <si>
    <t>Spy</t>
  </si>
  <si>
    <t>Stealth</t>
  </si>
  <si>
    <t>Swimming</t>
  </si>
  <si>
    <t>Thief</t>
  </si>
  <si>
    <t>Troubadour</t>
  </si>
  <si>
    <t>Warrior</t>
  </si>
  <si>
    <t>Weaponsmith</t>
  </si>
  <si>
    <t>Acrobat</t>
  </si>
  <si>
    <t>Administrator</t>
  </si>
  <si>
    <t>Appraise</t>
  </si>
  <si>
    <t>Architect/Builder</t>
  </si>
  <si>
    <t>Armorer</t>
  </si>
  <si>
    <t>Arms Master</t>
  </si>
  <si>
    <t>Artist</t>
  </si>
  <si>
    <t>Boweyer/Fletcher</t>
  </si>
  <si>
    <t>Cartographer</t>
  </si>
  <si>
    <t>Climb</t>
  </si>
  <si>
    <t>Chevalier</t>
  </si>
  <si>
    <t>Devotee</t>
  </si>
  <si>
    <t>Disarm Opp. w/ Sim Weap</t>
  </si>
  <si>
    <t>First Aid</t>
  </si>
  <si>
    <t>Gambler</t>
  </si>
  <si>
    <t>Homemaker</t>
  </si>
  <si>
    <t>Hunter/Fisherman</t>
  </si>
  <si>
    <t>Iatsu-Bow</t>
  </si>
  <si>
    <t>Inn Keeper</t>
  </si>
  <si>
    <t>Martial Artist</t>
  </si>
  <si>
    <t>Miner/Prospector</t>
  </si>
  <si>
    <t>Orator</t>
  </si>
  <si>
    <t>Planter</t>
  </si>
  <si>
    <t>Scholar</t>
  </si>
  <si>
    <t>Sailor</t>
  </si>
  <si>
    <t>Sense Motive</t>
  </si>
  <si>
    <t>Swim</t>
  </si>
  <si>
    <t>Teamster</t>
  </si>
  <si>
    <t>Tradesman</t>
  </si>
  <si>
    <t>Tutor</t>
  </si>
  <si>
    <t>Rank 0</t>
  </si>
  <si>
    <t>Rank 1</t>
  </si>
  <si>
    <t>Rank 2</t>
  </si>
  <si>
    <t>Rank 3</t>
  </si>
  <si>
    <t>Rank 4</t>
  </si>
  <si>
    <t>Rank 5</t>
  </si>
  <si>
    <t>Rank 6</t>
  </si>
  <si>
    <t>Rank 7</t>
  </si>
  <si>
    <t>Rank 8</t>
  </si>
  <si>
    <t>Rank 9</t>
  </si>
  <si>
    <t>Rank 10</t>
  </si>
  <si>
    <t>Skill</t>
  </si>
  <si>
    <t>Weapons</t>
  </si>
  <si>
    <t>Skill/Weapon</t>
  </si>
  <si>
    <t>Battle Axe</t>
  </si>
  <si>
    <t>Blowgun</t>
  </si>
  <si>
    <t>Bola</t>
  </si>
  <si>
    <t>Boomerang</t>
  </si>
  <si>
    <t>Broadsword</t>
  </si>
  <si>
    <t>Cestus</t>
  </si>
  <si>
    <t>Claymore</t>
  </si>
  <si>
    <t>Composite bow</t>
  </si>
  <si>
    <t>Crossbow</t>
  </si>
  <si>
    <t>Crude club</t>
  </si>
  <si>
    <t>Dagger</t>
  </si>
  <si>
    <t>Dart</t>
  </si>
  <si>
    <t>Estoc</t>
  </si>
  <si>
    <t>Falchion</t>
  </si>
  <si>
    <t>Flail</t>
  </si>
  <si>
    <t>Garotte</t>
  </si>
  <si>
    <t>Giant Axe</t>
  </si>
  <si>
    <t>Giant club</t>
  </si>
  <si>
    <t>Giant glaive</t>
  </si>
  <si>
    <t>Giant mace</t>
  </si>
  <si>
    <t>Giant spear</t>
  </si>
  <si>
    <t>Giantbow</t>
  </si>
  <si>
    <t>Glaive</t>
  </si>
  <si>
    <t>Great axe</t>
  </si>
  <si>
    <t>Grenado</t>
  </si>
  <si>
    <t>Halberd</t>
  </si>
  <si>
    <t>Hand &amp; a Half</t>
  </si>
  <si>
    <t>Hand axe</t>
  </si>
  <si>
    <t>Heavy crossbow</t>
  </si>
  <si>
    <t>Javelin</t>
  </si>
  <si>
    <t>Lance</t>
  </si>
  <si>
    <t>Longbow</t>
  </si>
  <si>
    <t>Mace</t>
  </si>
  <si>
    <t>Main-gauche</t>
  </si>
  <si>
    <t>Mattock</t>
  </si>
  <si>
    <t>Morningstar</t>
  </si>
  <si>
    <t>Net</t>
  </si>
  <si>
    <t>Pike</t>
  </si>
  <si>
    <t>Poleaxe</t>
  </si>
  <si>
    <t>Quarterstaff</t>
  </si>
  <si>
    <t>Rapier</t>
  </si>
  <si>
    <t>Rock</t>
  </si>
  <si>
    <t>Sabre</t>
  </si>
  <si>
    <t>Sap</t>
  </si>
  <si>
    <t>Scimitar</t>
  </si>
  <si>
    <t>Selfbow</t>
  </si>
  <si>
    <t>Shield</t>
  </si>
  <si>
    <t>Shortbow</t>
  </si>
  <si>
    <t>Shortsword</t>
  </si>
  <si>
    <t>Sling</t>
  </si>
  <si>
    <t>Spear</t>
  </si>
  <si>
    <t>Spear thrower</t>
  </si>
  <si>
    <t>Torch</t>
  </si>
  <si>
    <t>Trident</t>
  </si>
  <si>
    <t>Tulwar</t>
  </si>
  <si>
    <t>Two-handed sword</t>
  </si>
  <si>
    <t>Unarmed</t>
  </si>
  <si>
    <t>War club</t>
  </si>
  <si>
    <t>War hammer</t>
  </si>
  <si>
    <t>War pick</t>
  </si>
  <si>
    <t>Whip</t>
  </si>
  <si>
    <t>Bo</t>
  </si>
  <si>
    <t>Daikyu</t>
  </si>
  <si>
    <t>Hanbo</t>
  </si>
  <si>
    <t>Hankyu</t>
  </si>
  <si>
    <t>Katana</t>
  </si>
  <si>
    <t>Kataran</t>
  </si>
  <si>
    <t>Kodachi</t>
  </si>
  <si>
    <t>Manriki-kusari</t>
  </si>
  <si>
    <t>Naginata</t>
  </si>
  <si>
    <t>Ninjato</t>
  </si>
  <si>
    <t>Nodachi</t>
  </si>
  <si>
    <t>Nunchaku</t>
  </si>
  <si>
    <t>Sai</t>
  </si>
  <si>
    <t>Shuriken</t>
  </si>
  <si>
    <t>Tanto</t>
  </si>
  <si>
    <t>Tetsubishi</t>
  </si>
  <si>
    <t>Tetsubo</t>
  </si>
  <si>
    <t>Tonfa</t>
  </si>
  <si>
    <t>Wakizashi</t>
  </si>
  <si>
    <t>War Fan</t>
  </si>
  <si>
    <t>Yari</t>
  </si>
  <si>
    <t>Knife</t>
  </si>
  <si>
    <t>Derringer</t>
  </si>
  <si>
    <t>Pepperbox</t>
  </si>
  <si>
    <t>Six-Shooter</t>
  </si>
  <si>
    <t>Sharps Rifle</t>
  </si>
  <si>
    <t>Languages</t>
  </si>
  <si>
    <t>Characteristic</t>
  </si>
  <si>
    <t>Physical Strength</t>
  </si>
  <si>
    <t>Manual Dexterity</t>
  </si>
  <si>
    <t>Agility</t>
  </si>
  <si>
    <t>Magical Aptitude</t>
  </si>
  <si>
    <t>Points Increased</t>
  </si>
  <si>
    <t>Willpower</t>
  </si>
  <si>
    <t>Fatigue</t>
  </si>
  <si>
    <t>Perception</t>
  </si>
  <si>
    <t>Talent</t>
  </si>
  <si>
    <t>Shaping Index:</t>
  </si>
  <si>
    <t>Sub-Total</t>
  </si>
  <si>
    <t>Talent/Spell</t>
  </si>
  <si>
    <t>Category Sub-Total</t>
  </si>
  <si>
    <t>Containment</t>
  </si>
  <si>
    <t>Number Contained</t>
  </si>
  <si>
    <t>Contain Greater Summoning</t>
  </si>
  <si>
    <t>Contain Monster</t>
  </si>
  <si>
    <t xml:space="preserve">Range </t>
  </si>
  <si>
    <t>Duration</t>
  </si>
  <si>
    <t>Damage</t>
  </si>
  <si>
    <t>Comments</t>
  </si>
  <si>
    <t>Greater Enchantment</t>
  </si>
  <si>
    <t>BC</t>
  </si>
  <si>
    <t>Sight</t>
  </si>
  <si>
    <t>N/A</t>
  </si>
  <si>
    <t>E&amp;E: Enchanted Sleep</t>
  </si>
  <si>
    <t>Speak and understand the language of all magical creatures.</t>
  </si>
  <si>
    <t>Concentration/No Maximum</t>
  </si>
  <si>
    <t>CC</t>
  </si>
  <si>
    <t>90 feet</t>
  </si>
  <si>
    <t>Immediate</t>
  </si>
  <si>
    <t>Passive Resistance Only</t>
  </si>
  <si>
    <t>10 Points B Type Damage to cut web</t>
  </si>
  <si>
    <t>CC Bonuses</t>
  </si>
  <si>
    <t>Automatic</t>
  </si>
  <si>
    <t>Self</t>
  </si>
  <si>
    <t>Any Range</t>
  </si>
  <si>
    <t>Target will act as if under the effects of a Spell of Slowness</t>
  </si>
  <si>
    <t>Resist for Half.</t>
  </si>
  <si>
    <t>Touch</t>
  </si>
  <si>
    <t>Roll less than PC to observe person under the effects of this spell.</t>
  </si>
  <si>
    <t>[D-5]+1/ft travelled</t>
  </si>
  <si>
    <t>Entities facing the adept and fail to passively resist are blind for 20 seconds.</t>
  </si>
  <si>
    <t>Disbelieved instead of resisted.</t>
  </si>
  <si>
    <t>Can communicate with any flying creature.</t>
  </si>
  <si>
    <t>D10 hours</t>
  </si>
  <si>
    <t>Can create a wind of up to 30 knots in D-2 minutes.</t>
  </si>
  <si>
    <t>Air: Lightning</t>
  </si>
  <si>
    <t>60 feet</t>
  </si>
  <si>
    <t>Target stunned on failure to resist.</t>
  </si>
  <si>
    <t>Self/Adjacent</t>
  </si>
  <si>
    <t>Death</t>
  </si>
  <si>
    <t>Damage is for target who succesfully resists (failure to resist results in death).</t>
  </si>
  <si>
    <t>15 feet</t>
  </si>
  <si>
    <t>Create 1 dose that adds D+2 to PS for 15 minutes (15 pulses in Combat).</t>
  </si>
  <si>
    <t>10 seconds</t>
  </si>
  <si>
    <t>1 day</t>
  </si>
  <si>
    <t>Squall follows caster.</t>
  </si>
  <si>
    <t>One small flammable object or small furry animal bursts into flame.</t>
  </si>
  <si>
    <t>Must touch conductive surface.  May not be resisted.</t>
  </si>
  <si>
    <t>Passive Resistance Only (Non-College of Fire members -10 from MR)</t>
  </si>
  <si>
    <t>Passive Resistance Only (save for no damage).</t>
  </si>
  <si>
    <t>Passive only (for half)</t>
  </si>
  <si>
    <t>Passive Resistance Only (for half) (Non-College of Fire members -10 from MR)</t>
  </si>
  <si>
    <t>-20 from MR.  Passive Resistance Only(save for half).</t>
  </si>
  <si>
    <t>Passive Resistance Only (save for half).</t>
  </si>
  <si>
    <t>Passive Resistance Only (save for no damage). (overlap would suffer 3x damage)</t>
  </si>
  <si>
    <t>Active and Passive Resistance for no effect.</t>
  </si>
  <si>
    <t>Until Dispelled</t>
  </si>
  <si>
    <t>Increase Luck or Misfortune by 1 on every die roll (cannot be cast on self).</t>
  </si>
  <si>
    <t>Passive Only (for No Damage)</t>
  </si>
  <si>
    <t>10 feet</t>
  </si>
  <si>
    <t>11 feet</t>
  </si>
  <si>
    <t>20 feet</t>
  </si>
  <si>
    <t>Regenerate 1 EN point every 10 seconds (30 seconds after the wound is inflicted).</t>
  </si>
  <si>
    <t>Damages only Shadow and darkness-aligned creatures.</t>
  </si>
  <si>
    <t>Damages only Light-aligned creatures.</t>
  </si>
  <si>
    <t>Active and Passive Resistance for no effect.  Roll on Freight Table if fail.</t>
  </si>
  <si>
    <t>Until task completed</t>
  </si>
  <si>
    <t>[D-5] / 10 Seconds</t>
  </si>
  <si>
    <t>Creates a 15' x15' 15' column of force.</t>
  </si>
  <si>
    <t>Freight Roll</t>
  </si>
  <si>
    <t>All characters within range make a Freight Roll.</t>
  </si>
  <si>
    <t>D+1</t>
  </si>
  <si>
    <t>By expending 2 FT, Adept can continue the effect.  Passive Resistance Only.</t>
  </si>
  <si>
    <t>The adept may repair his own FT or EN or inrease PS with the FT gained.</t>
  </si>
  <si>
    <t>Variable</t>
  </si>
  <si>
    <t>Applies damage to caster's FT (not EN).  Active and Passive Resistance for no effect.</t>
  </si>
  <si>
    <t>Control one member of a player character race.</t>
  </si>
  <si>
    <t>Must remain within range of T-1 Talent</t>
  </si>
  <si>
    <t>Base Chance reduced by 3% per Rank of Code.</t>
  </si>
  <si>
    <t>Until Runesticks removed.</t>
  </si>
  <si>
    <t>Cast Chance is reduced by 1% / 5 miles seperating sticks (+15% if Willow).</t>
  </si>
  <si>
    <t>Effects 1 Entity</t>
  </si>
  <si>
    <t>Depends on Type of Golem</t>
  </si>
  <si>
    <t>Until removed or fulfilled</t>
  </si>
  <si>
    <t>Until removed.</t>
  </si>
  <si>
    <t>MA Bonus</t>
  </si>
  <si>
    <t>Other Bonuses</t>
  </si>
  <si>
    <t>Long Sword</t>
  </si>
  <si>
    <t>Arms-Armor</t>
  </si>
  <si>
    <t>Staves-Wands</t>
  </si>
  <si>
    <t>Greater Artifacts</t>
  </si>
  <si>
    <t>Ritual Used</t>
  </si>
  <si>
    <t>Shaper</t>
  </si>
  <si>
    <t>Item</t>
  </si>
  <si>
    <t>Shop</t>
  </si>
  <si>
    <t>Shield - Buckler</t>
  </si>
  <si>
    <t>Shield - Small Round</t>
  </si>
  <si>
    <t>Shield - Large Round</t>
  </si>
  <si>
    <t>Shield - Kite</t>
  </si>
  <si>
    <t>Shield - Tower</t>
  </si>
  <si>
    <t>V</t>
  </si>
  <si>
    <t>Arrow</t>
  </si>
  <si>
    <t>Dart - Throwing</t>
  </si>
  <si>
    <t>Dart - Blowgun</t>
  </si>
  <si>
    <t>Quarrel</t>
  </si>
  <si>
    <t>Shot</t>
  </si>
  <si>
    <t>Armor</t>
  </si>
  <si>
    <t>Cloth</t>
  </si>
  <si>
    <t>Heavy Furs</t>
  </si>
  <si>
    <t>Leather</t>
  </si>
  <si>
    <t>Scale</t>
  </si>
  <si>
    <t>Chainmail</t>
  </si>
  <si>
    <t>Partial Plate</t>
  </si>
  <si>
    <t>Full Plate</t>
  </si>
  <si>
    <t>Improved Plate</t>
  </si>
  <si>
    <t>Cranequin</t>
  </si>
  <si>
    <t>Cloak</t>
  </si>
  <si>
    <t>Tunic</t>
  </si>
  <si>
    <t>Long Pants</t>
  </si>
  <si>
    <t>Short Pants</t>
  </si>
  <si>
    <t>Shirt</t>
  </si>
  <si>
    <t>Robe</t>
  </si>
  <si>
    <t>Hat, Hard</t>
  </si>
  <si>
    <t>Hat, Soft</t>
  </si>
  <si>
    <t>Blouse</t>
  </si>
  <si>
    <t>Money Belt</t>
  </si>
  <si>
    <t>Weapon Belt - Waist</t>
  </si>
  <si>
    <t>Weapon Belt - Shoulder</t>
  </si>
  <si>
    <t>Jacket</t>
  </si>
  <si>
    <t>Full Length Coat</t>
  </si>
  <si>
    <t>Sandals</t>
  </si>
  <si>
    <t>Walking Shoes</t>
  </si>
  <si>
    <t>High Boots</t>
  </si>
  <si>
    <t>Low Boots</t>
  </si>
  <si>
    <t>Hip Boots</t>
  </si>
  <si>
    <t>Scarf</t>
  </si>
  <si>
    <t>Gloves</t>
  </si>
  <si>
    <t>Mittens</t>
  </si>
  <si>
    <t>Face Mask</t>
  </si>
  <si>
    <t>Tools</t>
  </si>
  <si>
    <t>Shovel</t>
  </si>
  <si>
    <t>Pick</t>
  </si>
  <si>
    <t>Mallet</t>
  </si>
  <si>
    <t>Chisel</t>
  </si>
  <si>
    <t>Hammer</t>
  </si>
  <si>
    <t>Wedge</t>
  </si>
  <si>
    <t>2-Man Saw</t>
  </si>
  <si>
    <t>Transportation</t>
  </si>
  <si>
    <t>Wagon</t>
  </si>
  <si>
    <t>Horse Cart</t>
  </si>
  <si>
    <t>Carriage</t>
  </si>
  <si>
    <t>Hand Cart</t>
  </si>
  <si>
    <t>Rowboat</t>
  </si>
  <si>
    <t>Cutter</t>
  </si>
  <si>
    <t>Sailboat - 10'</t>
  </si>
  <si>
    <t>Carrack (masted with 40 oars)</t>
  </si>
  <si>
    <t>Small Galley (40 oars only)</t>
  </si>
  <si>
    <t>Large Galley (80 oars only)</t>
  </si>
  <si>
    <t>Large Galley (masted and 80 oars)</t>
  </si>
  <si>
    <t>Barge</t>
  </si>
  <si>
    <t>Backpack - Leather</t>
  </si>
  <si>
    <t>Shoulder Pouch - Leather</t>
  </si>
  <si>
    <t xml:space="preserve">Sack - Large Leather </t>
  </si>
  <si>
    <t xml:space="preserve">Sack - Small Leather </t>
  </si>
  <si>
    <t xml:space="preserve">Sack - Large Burlap </t>
  </si>
  <si>
    <t xml:space="preserve">Sack - Small Burlap </t>
  </si>
  <si>
    <t>Sheath, Belt - Large Weapons</t>
  </si>
  <si>
    <t>Sheath, Belt - Small Weapons</t>
  </si>
  <si>
    <t>Sheath, Shoulder - Large Weapons</t>
  </si>
  <si>
    <t>Sheath, Shoulder - Small Weapons</t>
  </si>
  <si>
    <t>Quiver</t>
  </si>
  <si>
    <t>Wine Skin - Quart</t>
  </si>
  <si>
    <t>Flask - Quart</t>
  </si>
  <si>
    <t>Chest - Large Wood</t>
  </si>
  <si>
    <t>Chest - Small Wood</t>
  </si>
  <si>
    <t>Chest - Metal</t>
  </si>
  <si>
    <t>Cask</t>
  </si>
  <si>
    <t>Barrel</t>
  </si>
  <si>
    <t>Woodkeg</t>
  </si>
  <si>
    <t>Bucket</t>
  </si>
  <si>
    <t>Tarp</t>
  </si>
  <si>
    <t>Blanket</t>
  </si>
  <si>
    <t>Sleeping Sack</t>
  </si>
  <si>
    <t>Cauldron</t>
  </si>
  <si>
    <t>Candle</t>
  </si>
  <si>
    <t>Flint and Steel</t>
  </si>
  <si>
    <t>Rope - 1/2" Mountain</t>
  </si>
  <si>
    <t>Rope - 1" Mountain</t>
  </si>
  <si>
    <t>Climbing Pick</t>
  </si>
  <si>
    <t>Grappling Hook</t>
  </si>
  <si>
    <t>Ladder - 12'</t>
  </si>
  <si>
    <t>Oar - Short</t>
  </si>
  <si>
    <t>Oar - Long (Galley/Carrack)</t>
  </si>
  <si>
    <t>Saddle</t>
  </si>
  <si>
    <t>Harness</t>
  </si>
  <si>
    <t>Saddle Blanket</t>
  </si>
  <si>
    <t>Saddle Bags</t>
  </si>
  <si>
    <t>Pack Bags &amp; Harness</t>
  </si>
  <si>
    <t>Mirror, Large</t>
  </si>
  <si>
    <t>Mirror, Small</t>
  </si>
  <si>
    <t>Map Case</t>
  </si>
  <si>
    <t>Quill</t>
  </si>
  <si>
    <t>Corkscrew</t>
  </si>
  <si>
    <t>Morter and Pestle</t>
  </si>
  <si>
    <t>Hammock, Cloth</t>
  </si>
  <si>
    <t>Fish Hook</t>
  </si>
  <si>
    <t>Fishnet</t>
  </si>
  <si>
    <t>Block and Tackle</t>
  </si>
  <si>
    <t>Hand Plane</t>
  </si>
  <si>
    <t>Brace and Bit</t>
  </si>
  <si>
    <t>Wood Clamp</t>
  </si>
  <si>
    <t>Windpress</t>
  </si>
  <si>
    <t>Loom</t>
  </si>
  <si>
    <t>Crowbar</t>
  </si>
  <si>
    <t>Chain - 1" link</t>
  </si>
  <si>
    <t>Net - Rope</t>
  </si>
  <si>
    <t>Collar - Animal</t>
  </si>
  <si>
    <t>Leash - Leather</t>
  </si>
  <si>
    <t>Cage - Dog</t>
  </si>
  <si>
    <t>Falconry Gauntlet</t>
  </si>
  <si>
    <t>Hunting Horn</t>
  </si>
  <si>
    <t>Gown</t>
  </si>
  <si>
    <t>Leggings</t>
  </si>
  <si>
    <t>Doublet</t>
  </si>
  <si>
    <t>Tabard</t>
  </si>
  <si>
    <t>Bathtub - Copper</t>
  </si>
  <si>
    <t>Table - 4 person, Oak</t>
  </si>
  <si>
    <t>Bed - Feather</t>
  </si>
  <si>
    <t>Chest - Oak</t>
  </si>
  <si>
    <t>Ottoman</t>
  </si>
  <si>
    <t>Armoire</t>
  </si>
  <si>
    <t>Settee</t>
  </si>
  <si>
    <t>Divan</t>
  </si>
  <si>
    <t>Desk</t>
  </si>
  <si>
    <t>Bookcase</t>
  </si>
  <si>
    <t>Adventure Equipment / Devices</t>
  </si>
  <si>
    <t>Telescope</t>
  </si>
  <si>
    <t>Sextant</t>
  </si>
  <si>
    <t>Magnifying Glass</t>
  </si>
  <si>
    <t>Hand Magnifier</t>
  </si>
  <si>
    <t>Compass - Geometric</t>
  </si>
  <si>
    <t>Compass - Magnetic</t>
  </si>
  <si>
    <t>Scissors</t>
  </si>
  <si>
    <t>Balance - Merchant's</t>
  </si>
  <si>
    <t>Balance - Alchemist's</t>
  </si>
  <si>
    <t>CONTAINERS</t>
  </si>
  <si>
    <t>Jar - Earthenware</t>
  </si>
  <si>
    <t>Urn - Earthenware</t>
  </si>
  <si>
    <t>Flask - Bronze</t>
  </si>
  <si>
    <t>Flagon - Porcelain</t>
  </si>
  <si>
    <t>Box - Iron</t>
  </si>
  <si>
    <t>Granado Case - Padded</t>
  </si>
  <si>
    <t>Cooking Pot</t>
  </si>
  <si>
    <t>Crate - Wood</t>
  </si>
  <si>
    <t>Tankard - Pewter</t>
  </si>
  <si>
    <t>Bowl - Porcelain</t>
  </si>
  <si>
    <t>Wallet</t>
  </si>
  <si>
    <t>Instruments</t>
  </si>
  <si>
    <t>Piano</t>
  </si>
  <si>
    <t>Harp - Concert</t>
  </si>
  <si>
    <t>Harp - Personal</t>
  </si>
  <si>
    <t>Lute</t>
  </si>
  <si>
    <t>Recorder</t>
  </si>
  <si>
    <t>Drum - Tambour</t>
  </si>
  <si>
    <t>Flute - Wooden</t>
  </si>
  <si>
    <t>Flute - Pan</t>
  </si>
  <si>
    <t>Mandolin</t>
  </si>
  <si>
    <t>Dulcimer</t>
  </si>
  <si>
    <t>Lyre</t>
  </si>
  <si>
    <t>Fiddle</t>
  </si>
  <si>
    <t>Coronet</t>
  </si>
  <si>
    <t>Jewelry</t>
  </si>
  <si>
    <t>Ring</t>
  </si>
  <si>
    <t>Necklace</t>
  </si>
  <si>
    <t>Bracelet</t>
  </si>
  <si>
    <t>Basic</t>
  </si>
  <si>
    <t>Total</t>
  </si>
  <si>
    <t>Cost to Hire</t>
  </si>
  <si>
    <t>"Ability"</t>
  </si>
  <si>
    <t>Assistant</t>
  </si>
  <si>
    <t>* Assistant cost starts at 400SP/Week per Assistant</t>
  </si>
  <si>
    <t>** Assistants must be present for half of the time spent to create the Artifact</t>
  </si>
  <si>
    <r>
      <t xml:space="preserve">Talents </t>
    </r>
    <r>
      <rPr>
        <b/>
        <u val="single"/>
        <sz val="10"/>
        <rFont val="Arial"/>
        <family val="2"/>
      </rPr>
      <t>without</t>
    </r>
    <r>
      <rPr>
        <b/>
        <sz val="10"/>
        <rFont val="Arial"/>
        <family val="2"/>
      </rPr>
      <t xml:space="preserve"> Experience Multiples</t>
    </r>
  </si>
  <si>
    <t>Profit</t>
  </si>
  <si>
    <t>Price</t>
  </si>
  <si>
    <t>(Weeks)</t>
  </si>
  <si>
    <t>Item Base</t>
  </si>
  <si>
    <t>Cost (SP)</t>
  </si>
  <si>
    <t>(SP)</t>
  </si>
  <si>
    <t>Preparation</t>
  </si>
  <si>
    <t>Bracers</t>
  </si>
  <si>
    <t>Jo Stick</t>
  </si>
  <si>
    <t>Lantern - Oil</t>
  </si>
  <si>
    <t>Lantern - Glass/Candle</t>
  </si>
  <si>
    <t>Lantern - Oil/Aladdin Type</t>
  </si>
  <si>
    <t>Lantern - Oil/Shuttered</t>
  </si>
  <si>
    <t>Lantern - Oil/Glass</t>
  </si>
  <si>
    <t>Stool</t>
  </si>
  <si>
    <t>Chair - Elaborate</t>
  </si>
  <si>
    <t>Chair - Basic</t>
  </si>
  <si>
    <t>Miscellaneous</t>
  </si>
  <si>
    <t>Cards - Playing (52)</t>
  </si>
  <si>
    <t>Cards - Tarot (78)</t>
  </si>
  <si>
    <t>Hourglass</t>
  </si>
  <si>
    <t>Tent - Canvas, 2 person</t>
  </si>
  <si>
    <t>Tent - Canvas, 4 person</t>
  </si>
  <si>
    <t>Tent - Canvas, 8 person</t>
  </si>
  <si>
    <t>Tent - Leather, 2 person</t>
  </si>
  <si>
    <t>Tent - Leather, 4 person</t>
  </si>
  <si>
    <t>Tent - Leather, 8 person</t>
  </si>
  <si>
    <t>Odachi</t>
  </si>
  <si>
    <t>end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</si>
</sst>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0"/>
      <name val="Times New Roman"/>
      <family val="1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38" fontId="0" fillId="0" borderId="16" xfId="0" applyNumberFormat="1" applyFont="1" applyBorder="1" applyAlignment="1">
      <alignment horizontal="center"/>
    </xf>
    <xf numFmtId="38" fontId="0" fillId="34" borderId="16" xfId="0" applyNumberFormat="1" applyFont="1" applyFill="1" applyBorder="1" applyAlignment="1">
      <alignment horizontal="center"/>
    </xf>
    <xf numFmtId="0" fontId="0" fillId="34" borderId="17" xfId="0" applyFill="1" applyBorder="1" applyAlignment="1" quotePrefix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 quotePrefix="1">
      <alignment horizontal="center"/>
    </xf>
    <xf numFmtId="38" fontId="0" fillId="34" borderId="20" xfId="0" applyNumberFormat="1" applyFill="1" applyBorder="1" applyAlignment="1">
      <alignment horizontal="center"/>
    </xf>
    <xf numFmtId="0" fontId="0" fillId="34" borderId="21" xfId="0" applyFill="1" applyBorder="1" applyAlignment="1" quotePrefix="1">
      <alignment horizontal="center"/>
    </xf>
    <xf numFmtId="0" fontId="0" fillId="34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38" fontId="0" fillId="34" borderId="24" xfId="0" applyNumberFormat="1" applyFill="1" applyBorder="1" applyAlignment="1">
      <alignment horizontal="center"/>
    </xf>
    <xf numFmtId="38" fontId="0" fillId="34" borderId="25" xfId="0" applyNumberFormat="1" applyFill="1" applyBorder="1" applyAlignment="1">
      <alignment horizontal="center"/>
    </xf>
    <xf numFmtId="38" fontId="0" fillId="34" borderId="22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38" fontId="0" fillId="0" borderId="26" xfId="0" applyNumberFormat="1" applyFont="1" applyBorder="1" applyAlignment="1">
      <alignment horizontal="center"/>
    </xf>
    <xf numFmtId="38" fontId="0" fillId="34" borderId="26" xfId="0" applyNumberFormat="1" applyFont="1" applyFill="1" applyBorder="1" applyAlignment="1">
      <alignment horizontal="center"/>
    </xf>
    <xf numFmtId="38" fontId="0" fillId="34" borderId="27" xfId="0" applyNumberFormat="1" applyFill="1" applyBorder="1" applyAlignment="1">
      <alignment horizontal="center"/>
    </xf>
    <xf numFmtId="38" fontId="0" fillId="0" borderId="28" xfId="0" applyNumberFormat="1" applyFont="1" applyBorder="1" applyAlignment="1">
      <alignment horizontal="center"/>
    </xf>
    <xf numFmtId="38" fontId="0" fillId="34" borderId="28" xfId="0" applyNumberFormat="1" applyFont="1" applyFill="1" applyBorder="1" applyAlignment="1">
      <alignment horizontal="center"/>
    </xf>
    <xf numFmtId="38" fontId="0" fillId="34" borderId="29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23" xfId="0" applyFont="1" applyFill="1" applyBorder="1" applyAlignment="1">
      <alignment horizontal="centerContinuous"/>
    </xf>
    <xf numFmtId="0" fontId="0" fillId="33" borderId="31" xfId="0" applyFill="1" applyBorder="1" applyAlignment="1">
      <alignment horizontal="centerContinuous"/>
    </xf>
    <xf numFmtId="0" fontId="0" fillId="33" borderId="32" xfId="0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33" xfId="0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34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34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4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34" xfId="0" applyFill="1" applyBorder="1" applyAlignment="1">
      <alignment/>
    </xf>
    <xf numFmtId="0" fontId="0" fillId="0" borderId="35" xfId="0" applyBorder="1" applyAlignment="1">
      <alignment/>
    </xf>
    <xf numFmtId="0" fontId="0" fillId="39" borderId="19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20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20" xfId="0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20" xfId="0" applyFill="1" applyBorder="1" applyAlignment="1">
      <alignment/>
    </xf>
    <xf numFmtId="0" fontId="0" fillId="42" borderId="19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20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20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20" xfId="0" applyFill="1" applyBorder="1" applyAlignment="1">
      <alignment/>
    </xf>
    <xf numFmtId="0" fontId="0" fillId="0" borderId="36" xfId="0" applyBorder="1" applyAlignment="1">
      <alignment/>
    </xf>
    <xf numFmtId="0" fontId="0" fillId="39" borderId="21" xfId="0" applyFill="1" applyBorder="1" applyAlignment="1">
      <alignment/>
    </xf>
    <xf numFmtId="0" fontId="0" fillId="39" borderId="37" xfId="0" applyFill="1" applyBorder="1" applyAlignment="1">
      <alignment/>
    </xf>
    <xf numFmtId="0" fontId="0" fillId="39" borderId="38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37" xfId="0" applyFill="1" applyBorder="1" applyAlignment="1">
      <alignment/>
    </xf>
    <xf numFmtId="0" fontId="0" fillId="40" borderId="38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37" xfId="0" applyFill="1" applyBorder="1" applyAlignment="1">
      <alignment/>
    </xf>
    <xf numFmtId="0" fontId="0" fillId="41" borderId="38" xfId="0" applyFill="1" applyBorder="1" applyAlignment="1">
      <alignment/>
    </xf>
    <xf numFmtId="0" fontId="0" fillId="42" borderId="21" xfId="0" applyFill="1" applyBorder="1" applyAlignment="1">
      <alignment/>
    </xf>
    <xf numFmtId="0" fontId="0" fillId="42" borderId="37" xfId="0" applyFill="1" applyBorder="1" applyAlignment="1">
      <alignment/>
    </xf>
    <xf numFmtId="0" fontId="0" fillId="42" borderId="38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/>
      <protection/>
    </xf>
    <xf numFmtId="0" fontId="4" fillId="0" borderId="3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0" xfId="0" applyFill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32" borderId="16" xfId="0" applyFill="1" applyBorder="1" applyAlignment="1">
      <alignment horizontal="center"/>
    </xf>
    <xf numFmtId="0" fontId="1" fillId="4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38" fontId="0" fillId="43" borderId="0" xfId="0" applyNumberFormat="1" applyFill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32" borderId="16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0" fillId="32" borderId="16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32" borderId="32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13" borderId="4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10" borderId="44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2" borderId="24" xfId="0" applyFont="1" applyFill="1" applyBorder="1" applyAlignment="1">
      <alignment horizontal="left"/>
    </xf>
    <xf numFmtId="0" fontId="0" fillId="32" borderId="43" xfId="0" applyFont="1" applyFill="1" applyBorder="1" applyAlignment="1">
      <alignment horizontal="left"/>
    </xf>
    <xf numFmtId="0" fontId="0" fillId="32" borderId="44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2" borderId="16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6" xfId="0" applyFill="1" applyBorder="1" applyAlignment="1">
      <alignment horizontal="left" vertical="center"/>
    </xf>
    <xf numFmtId="0" fontId="1" fillId="25" borderId="23" xfId="0" applyFont="1" applyFill="1" applyBorder="1" applyAlignment="1">
      <alignment horizontal="center" vertical="center"/>
    </xf>
    <xf numFmtId="0" fontId="1" fillId="25" borderId="31" xfId="0" applyFont="1" applyFill="1" applyBorder="1" applyAlignment="1">
      <alignment horizontal="center" vertical="center"/>
    </xf>
    <xf numFmtId="0" fontId="1" fillId="25" borderId="3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4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44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0" borderId="4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9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2" max="4" width="9.140625" style="2" customWidth="1"/>
    <col min="5" max="5" width="11.7109375" style="2" customWidth="1"/>
    <col min="6" max="6" width="10.8515625" style="2" customWidth="1"/>
    <col min="7" max="7" width="13.57421875" style="1" bestFit="1" customWidth="1"/>
    <col min="8" max="9" width="9.7109375" style="1" bestFit="1" customWidth="1"/>
    <col min="10" max="10" width="10.140625" style="1" bestFit="1" customWidth="1"/>
    <col min="11" max="11" width="15.57421875" style="1" bestFit="1" customWidth="1"/>
    <col min="12" max="12" width="9.7109375" style="2" bestFit="1" customWidth="1"/>
    <col min="13" max="14" width="9.140625" style="2" customWidth="1"/>
    <col min="17" max="17" width="10.00390625" style="2" bestFit="1" customWidth="1"/>
    <col min="18" max="18" width="9.140625" style="2" customWidth="1"/>
  </cols>
  <sheetData>
    <row r="1" spans="2:18" ht="12.75">
      <c r="B1" s="5" t="s">
        <v>1</v>
      </c>
      <c r="C1" s="6" t="s">
        <v>0</v>
      </c>
      <c r="D1" s="6" t="s">
        <v>20</v>
      </c>
      <c r="E1" s="6" t="s">
        <v>21</v>
      </c>
      <c r="F1" s="6" t="s">
        <v>23</v>
      </c>
      <c r="G1" s="6" t="s">
        <v>25</v>
      </c>
      <c r="H1" s="6" t="s">
        <v>26</v>
      </c>
      <c r="I1" s="6" t="s">
        <v>27</v>
      </c>
      <c r="J1" s="6" t="s">
        <v>28</v>
      </c>
      <c r="K1" s="6" t="s">
        <v>29</v>
      </c>
      <c r="L1" s="6" t="s">
        <v>30</v>
      </c>
      <c r="M1" s="6" t="s">
        <v>32</v>
      </c>
      <c r="N1" s="6" t="s">
        <v>34</v>
      </c>
      <c r="O1" s="6" t="s">
        <v>33</v>
      </c>
      <c r="P1" s="6" t="s">
        <v>32</v>
      </c>
      <c r="Q1" s="7" t="s">
        <v>37</v>
      </c>
      <c r="R1"/>
    </row>
    <row r="2" spans="2:18" ht="13.5" thickBot="1">
      <c r="B2" s="13" t="s">
        <v>2</v>
      </c>
      <c r="C2" s="14"/>
      <c r="D2" s="14"/>
      <c r="E2" s="16" t="s">
        <v>22</v>
      </c>
      <c r="F2" s="16" t="s">
        <v>24</v>
      </c>
      <c r="G2" s="16" t="s">
        <v>24</v>
      </c>
      <c r="H2" s="16" t="s">
        <v>24</v>
      </c>
      <c r="I2" s="16" t="s">
        <v>24</v>
      </c>
      <c r="J2" s="16" t="s">
        <v>24</v>
      </c>
      <c r="K2" s="16" t="s">
        <v>24</v>
      </c>
      <c r="L2" s="16" t="s">
        <v>31</v>
      </c>
      <c r="M2" s="8" t="s">
        <v>33</v>
      </c>
      <c r="N2" s="8" t="s">
        <v>35</v>
      </c>
      <c r="O2" s="8" t="s">
        <v>36</v>
      </c>
      <c r="P2" s="8" t="s">
        <v>38</v>
      </c>
      <c r="Q2" s="9" t="s">
        <v>20</v>
      </c>
      <c r="R2"/>
    </row>
    <row r="3" spans="1:17" ht="13.5" thickBot="1">
      <c r="A3">
        <v>1</v>
      </c>
      <c r="B3" s="19" t="s">
        <v>3</v>
      </c>
      <c r="C3" s="11">
        <v>8</v>
      </c>
      <c r="D3" s="20">
        <v>2</v>
      </c>
      <c r="E3" s="11">
        <v>0</v>
      </c>
      <c r="F3" s="27">
        <f>(((D3*25*$Q$3)+(C3*1.5*150)+($O$3/52*C3))*2+(52*150*E3))*(1+$P$3*0.05)</f>
        <v>14187.692307692307</v>
      </c>
      <c r="G3" s="30">
        <f>(((D3*30*$Q$3)+(C3*1.5*150)+($O$3/52*C3))*2+(52*150*E3))*(1+$P$3*0.05)</f>
        <v>15057.692307692307</v>
      </c>
      <c r="H3" s="31">
        <f>(((D3*20*$Q$3)+(C3*1.5*150)+($O$3/52*C3))*2+(52*150*E3))*(1+$P$3*0.05)</f>
        <v>13317.692307692307</v>
      </c>
      <c r="I3" s="30">
        <f>(((D3*10*$Q$3)+(C3*1.5*150)+($O$3/52*C3))*2+(52*150*E3))*(1+$P$3*0.05)</f>
        <v>11577.692307692307</v>
      </c>
      <c r="J3" s="31">
        <f>(((D3*30*$Q$3)+(C3*1.5*150)+($O$3/52*C3))*2+(52*150*E3))*(1+$P$3*0.05)</f>
        <v>15057.692307692307</v>
      </c>
      <c r="K3" s="30">
        <f>(((D3*50*$Q$3)+(C3*1.5*150)+($O$3/52*C3))*2+(52*150*E3))*(1+$P$3*0.05)</f>
        <v>18537.69230769231</v>
      </c>
      <c r="L3" s="32">
        <f>(((D3*50*$Q$3)+(C3*1.5*150)+($O$3/52*C3))*2+(52*150*E3))*(1+$P$3*0.05)</f>
        <v>18537.69230769231</v>
      </c>
      <c r="M3" s="158">
        <v>8</v>
      </c>
      <c r="N3" s="159">
        <v>1.5</v>
      </c>
      <c r="O3" s="160">
        <f>((5000+(8000*M3))*N3)*0.1</f>
        <v>10350</v>
      </c>
      <c r="P3" s="159">
        <v>9</v>
      </c>
      <c r="Q3" s="157">
        <v>30</v>
      </c>
    </row>
    <row r="4" spans="1:27" ht="13.5" thickBot="1">
      <c r="A4">
        <v>51</v>
      </c>
      <c r="B4" s="21" t="s">
        <v>4</v>
      </c>
      <c r="C4" s="29">
        <v>8</v>
      </c>
      <c r="D4" s="15">
        <v>3</v>
      </c>
      <c r="E4" s="29">
        <v>0</v>
      </c>
      <c r="F4" s="26">
        <f aca="true" t="shared" si="0" ref="F4:F19">(((D4*25*$Q$3)+(C4*1.5*150)+($O$3/52*C4))*2+(52*150*E4))*(1+$P$3*0.05)</f>
        <v>16362.692307692307</v>
      </c>
      <c r="G4" s="17">
        <f aca="true" t="shared" si="1" ref="G4:G19">(((D4*30*$Q$3)+(C4*1.5*150)+($O$3/52*C4))*2+(52*150*E4))*(1+$P$3*0.05)</f>
        <v>17667.69230769231</v>
      </c>
      <c r="H4" s="18">
        <f aca="true" t="shared" si="2" ref="H4:H19">(((D4*20*$Q$3)+(C4*1.5*150)+($O$3/52*C4))*2+(52*150*E4))*(1+$P$3*0.05)</f>
        <v>15057.692307692307</v>
      </c>
      <c r="I4" s="17">
        <f aca="true" t="shared" si="3" ref="I4:I19">(((D4*10*$Q$3)+(C4*1.5*150)+($O$3/52*C4))*2+(52*150*E4))*(1+$P$3*0.05)</f>
        <v>12447.692307692307</v>
      </c>
      <c r="J4" s="18">
        <f aca="true" t="shared" si="4" ref="J4:J19">(((D4*30*$Q$3)+(C4*1.5*150)+($O$3/52*C4))*2+(52*150*E4))*(1+$P$3*0.05)</f>
        <v>17667.69230769231</v>
      </c>
      <c r="K4" s="17">
        <f aca="true" t="shared" si="5" ref="K4:K19">(((D4*50*$Q$3)+(C4*1.5*150)+($O$3/52*C4))*2+(52*150*E4))*(1+$P$3*0.05)</f>
        <v>22887.69230769231</v>
      </c>
      <c r="L4" s="22">
        <f aca="true" t="shared" si="6" ref="L4:L19">(((D4*50*$Q$3)+(C4*1.5*150)+($O$3/52*C4))*2+(52*150*E4))*(1+$P$3*0.05)</f>
        <v>22887.69230769231</v>
      </c>
      <c r="Y4" s="3" t="s">
        <v>23</v>
      </c>
      <c r="Z4" s="148">
        <v>25</v>
      </c>
      <c r="AA4">
        <v>6</v>
      </c>
    </row>
    <row r="5" spans="1:27" ht="13.5" thickBot="1">
      <c r="A5">
        <v>126</v>
      </c>
      <c r="B5" s="21" t="s">
        <v>5</v>
      </c>
      <c r="C5" s="29">
        <v>8</v>
      </c>
      <c r="D5" s="15">
        <v>4</v>
      </c>
      <c r="E5" s="29">
        <v>0</v>
      </c>
      <c r="F5" s="26">
        <f>(((D5*25*$Q$3)+(C5*1.5*150)+($O$3/52*C5))*2+(52*150*E5))*(1+$P$3*0.05)</f>
        <v>18537.69230769231</v>
      </c>
      <c r="G5" s="17">
        <f>(((D5*30*$Q$3)+(C5*1.5*150)+($O$3/52*C5))*2+(52*150*E5))*(1+$P$3*0.05)</f>
        <v>20277.69230769231</v>
      </c>
      <c r="H5" s="18">
        <f t="shared" si="2"/>
        <v>16797.69230769231</v>
      </c>
      <c r="I5" s="17">
        <f t="shared" si="3"/>
        <v>13317.692307692307</v>
      </c>
      <c r="J5" s="18">
        <f t="shared" si="4"/>
        <v>20277.69230769231</v>
      </c>
      <c r="K5" s="17">
        <f t="shared" si="5"/>
        <v>27237.692307692305</v>
      </c>
      <c r="L5" s="22">
        <f t="shared" si="6"/>
        <v>27237.692307692305</v>
      </c>
      <c r="Y5" s="3" t="s">
        <v>699</v>
      </c>
      <c r="Z5" s="149">
        <v>30</v>
      </c>
      <c r="AA5">
        <v>7</v>
      </c>
    </row>
    <row r="6" spans="1:27" ht="13.5" thickBot="1">
      <c r="A6">
        <v>201</v>
      </c>
      <c r="B6" s="21" t="s">
        <v>6</v>
      </c>
      <c r="C6" s="29">
        <v>8</v>
      </c>
      <c r="D6" s="15">
        <v>5</v>
      </c>
      <c r="E6" s="29">
        <v>0</v>
      </c>
      <c r="F6" s="26">
        <f t="shared" si="0"/>
        <v>20712.69230769231</v>
      </c>
      <c r="G6" s="17">
        <f t="shared" si="1"/>
        <v>22887.69230769231</v>
      </c>
      <c r="H6" s="18">
        <f t="shared" si="2"/>
        <v>18537.69230769231</v>
      </c>
      <c r="I6" s="17">
        <f t="shared" si="3"/>
        <v>14187.692307692307</v>
      </c>
      <c r="J6" s="18">
        <f t="shared" si="4"/>
        <v>22887.69230769231</v>
      </c>
      <c r="K6" s="17">
        <f t="shared" si="5"/>
        <v>31587.692307692305</v>
      </c>
      <c r="L6" s="22">
        <f t="shared" si="6"/>
        <v>31587.692307692305</v>
      </c>
      <c r="Y6" s="3" t="s">
        <v>26</v>
      </c>
      <c r="Z6" s="149">
        <v>20</v>
      </c>
      <c r="AA6">
        <v>8</v>
      </c>
    </row>
    <row r="7" spans="1:27" ht="13.5" thickBot="1">
      <c r="A7">
        <v>301</v>
      </c>
      <c r="B7" s="21" t="s">
        <v>7</v>
      </c>
      <c r="C7" s="29">
        <v>8</v>
      </c>
      <c r="D7" s="15">
        <v>6</v>
      </c>
      <c r="E7" s="29">
        <v>1</v>
      </c>
      <c r="F7" s="26">
        <f t="shared" si="0"/>
        <v>34197.692307692305</v>
      </c>
      <c r="G7" s="17">
        <f t="shared" si="1"/>
        <v>36807.692307692305</v>
      </c>
      <c r="H7" s="18">
        <f t="shared" si="2"/>
        <v>31587.692307692305</v>
      </c>
      <c r="I7" s="17">
        <f t="shared" si="3"/>
        <v>26367.692307692305</v>
      </c>
      <c r="J7" s="18">
        <f t="shared" si="4"/>
        <v>36807.692307692305</v>
      </c>
      <c r="K7" s="17">
        <f t="shared" si="5"/>
        <v>47247.692307692305</v>
      </c>
      <c r="L7" s="22">
        <f t="shared" si="6"/>
        <v>47247.692307692305</v>
      </c>
      <c r="Y7" s="3" t="s">
        <v>27</v>
      </c>
      <c r="Z7" s="149">
        <v>10</v>
      </c>
      <c r="AA7">
        <v>9</v>
      </c>
    </row>
    <row r="8" spans="1:27" ht="13.5" thickBot="1">
      <c r="A8">
        <v>401</v>
      </c>
      <c r="B8" s="21" t="s">
        <v>8</v>
      </c>
      <c r="C8" s="29">
        <v>13</v>
      </c>
      <c r="D8" s="15">
        <v>7</v>
      </c>
      <c r="E8" s="29">
        <v>1</v>
      </c>
      <c r="F8" s="26">
        <f t="shared" si="0"/>
        <v>42521.25</v>
      </c>
      <c r="G8" s="17">
        <f t="shared" si="1"/>
        <v>45566.25</v>
      </c>
      <c r="H8" s="18">
        <f t="shared" si="2"/>
        <v>39476.25</v>
      </c>
      <c r="I8" s="17">
        <f t="shared" si="3"/>
        <v>33386.25</v>
      </c>
      <c r="J8" s="18">
        <f t="shared" si="4"/>
        <v>45566.25</v>
      </c>
      <c r="K8" s="17">
        <f t="shared" si="5"/>
        <v>57746.25</v>
      </c>
      <c r="L8" s="22">
        <f t="shared" si="6"/>
        <v>57746.25</v>
      </c>
      <c r="Y8" s="3" t="s">
        <v>28</v>
      </c>
      <c r="Z8" s="149">
        <v>30</v>
      </c>
      <c r="AA8">
        <v>10</v>
      </c>
    </row>
    <row r="9" spans="1:27" ht="13.5" thickBot="1">
      <c r="A9">
        <v>501</v>
      </c>
      <c r="B9" s="21" t="s">
        <v>9</v>
      </c>
      <c r="C9" s="29">
        <v>17</v>
      </c>
      <c r="D9" s="15">
        <v>8</v>
      </c>
      <c r="E9" s="29">
        <v>1</v>
      </c>
      <c r="F9" s="26">
        <f t="shared" si="0"/>
        <v>49615.09615384615</v>
      </c>
      <c r="G9" s="17">
        <f t="shared" si="1"/>
        <v>53095.09615384615</v>
      </c>
      <c r="H9" s="18">
        <f t="shared" si="2"/>
        <v>46135.09615384615</v>
      </c>
      <c r="I9" s="17">
        <f t="shared" si="3"/>
        <v>39175.09615384615</v>
      </c>
      <c r="J9" s="18">
        <f t="shared" si="4"/>
        <v>53095.09615384615</v>
      </c>
      <c r="K9" s="17">
        <f t="shared" si="5"/>
        <v>67015.09615384616</v>
      </c>
      <c r="L9" s="22">
        <f t="shared" si="6"/>
        <v>67015.09615384616</v>
      </c>
      <c r="Y9" s="3" t="s">
        <v>700</v>
      </c>
      <c r="Z9" s="149">
        <v>50</v>
      </c>
      <c r="AA9">
        <v>11</v>
      </c>
    </row>
    <row r="10" spans="1:27" ht="13.5" thickBot="1">
      <c r="A10">
        <v>601</v>
      </c>
      <c r="B10" s="21" t="s">
        <v>10</v>
      </c>
      <c r="C10" s="29">
        <v>21</v>
      </c>
      <c r="D10" s="15">
        <v>10</v>
      </c>
      <c r="E10" s="29">
        <v>2</v>
      </c>
      <c r="F10" s="26">
        <f t="shared" si="0"/>
        <v>70193.9423076923</v>
      </c>
      <c r="G10" s="17">
        <f t="shared" si="1"/>
        <v>74543.9423076923</v>
      </c>
      <c r="H10" s="18">
        <f t="shared" si="2"/>
        <v>65843.9423076923</v>
      </c>
      <c r="I10" s="17">
        <f t="shared" si="3"/>
        <v>57143.942307692305</v>
      </c>
      <c r="J10" s="18">
        <f t="shared" si="4"/>
        <v>74543.9423076923</v>
      </c>
      <c r="K10" s="17">
        <f t="shared" si="5"/>
        <v>91943.9423076923</v>
      </c>
      <c r="L10" s="22">
        <f t="shared" si="6"/>
        <v>91943.9423076923</v>
      </c>
      <c r="Y10" s="3" t="s">
        <v>701</v>
      </c>
      <c r="Z10" s="150">
        <v>50</v>
      </c>
      <c r="AA10">
        <v>12</v>
      </c>
    </row>
    <row r="11" spans="1:12" ht="12.75">
      <c r="A11">
        <v>751</v>
      </c>
      <c r="B11" s="21" t="s">
        <v>11</v>
      </c>
      <c r="C11" s="29">
        <v>26</v>
      </c>
      <c r="D11" s="15">
        <v>20</v>
      </c>
      <c r="E11" s="29">
        <v>2</v>
      </c>
      <c r="F11" s="26">
        <f t="shared" si="0"/>
        <v>98092.5</v>
      </c>
      <c r="G11" s="17">
        <f t="shared" si="1"/>
        <v>106792.5</v>
      </c>
      <c r="H11" s="18">
        <f t="shared" si="2"/>
        <v>89392.5</v>
      </c>
      <c r="I11" s="17">
        <f t="shared" si="3"/>
        <v>71992.5</v>
      </c>
      <c r="J11" s="18">
        <f t="shared" si="4"/>
        <v>106792.5</v>
      </c>
      <c r="K11" s="17">
        <f t="shared" si="5"/>
        <v>141592.5</v>
      </c>
      <c r="L11" s="22">
        <f t="shared" si="6"/>
        <v>141592.5</v>
      </c>
    </row>
    <row r="12" spans="1:12" ht="12.75">
      <c r="A12">
        <v>901</v>
      </c>
      <c r="B12" s="21" t="s">
        <v>12</v>
      </c>
      <c r="C12" s="29">
        <v>28</v>
      </c>
      <c r="D12" s="15">
        <v>30</v>
      </c>
      <c r="E12" s="29">
        <v>3</v>
      </c>
      <c r="F12" s="26">
        <f t="shared" si="0"/>
        <v>133611.92307692306</v>
      </c>
      <c r="G12" s="17">
        <f t="shared" si="1"/>
        <v>146661.92307692306</v>
      </c>
      <c r="H12" s="18">
        <f t="shared" si="2"/>
        <v>120561.92307692306</v>
      </c>
      <c r="I12" s="17">
        <f t="shared" si="3"/>
        <v>94461.92307692308</v>
      </c>
      <c r="J12" s="18">
        <f t="shared" si="4"/>
        <v>146661.92307692306</v>
      </c>
      <c r="K12" s="17">
        <f t="shared" si="5"/>
        <v>198861.92307692306</v>
      </c>
      <c r="L12" s="22">
        <f t="shared" si="6"/>
        <v>198861.92307692306</v>
      </c>
    </row>
    <row r="13" spans="1:12" ht="12.75">
      <c r="A13">
        <v>1101</v>
      </c>
      <c r="B13" s="21" t="s">
        <v>13</v>
      </c>
      <c r="C13" s="29">
        <v>32</v>
      </c>
      <c r="D13" s="15">
        <v>40</v>
      </c>
      <c r="E13" s="29">
        <v>4</v>
      </c>
      <c r="F13" s="26">
        <f t="shared" si="0"/>
        <v>171590.76923076922</v>
      </c>
      <c r="G13" s="17">
        <f t="shared" si="1"/>
        <v>188990.76923076922</v>
      </c>
      <c r="H13" s="18">
        <f t="shared" si="2"/>
        <v>154190.76923076922</v>
      </c>
      <c r="I13" s="17">
        <f t="shared" si="3"/>
        <v>119390.76923076922</v>
      </c>
      <c r="J13" s="18">
        <f t="shared" si="4"/>
        <v>188990.76923076922</v>
      </c>
      <c r="K13" s="17">
        <f t="shared" si="5"/>
        <v>258590.76923076922</v>
      </c>
      <c r="L13" s="22">
        <f t="shared" si="6"/>
        <v>258590.76923076922</v>
      </c>
    </row>
    <row r="14" spans="1:12" ht="12.75">
      <c r="A14">
        <v>1401</v>
      </c>
      <c r="B14" s="21" t="s">
        <v>14</v>
      </c>
      <c r="C14" s="29">
        <v>39</v>
      </c>
      <c r="D14" s="15">
        <v>50</v>
      </c>
      <c r="E14" s="29">
        <v>5</v>
      </c>
      <c r="F14" s="26">
        <f t="shared" si="0"/>
        <v>213258.75</v>
      </c>
      <c r="G14" s="17">
        <f t="shared" si="1"/>
        <v>235008.75</v>
      </c>
      <c r="H14" s="18">
        <f t="shared" si="2"/>
        <v>191508.75</v>
      </c>
      <c r="I14" s="17">
        <f t="shared" si="3"/>
        <v>148008.75</v>
      </c>
      <c r="J14" s="18">
        <f t="shared" si="4"/>
        <v>235008.75</v>
      </c>
      <c r="K14" s="17">
        <f t="shared" si="5"/>
        <v>322008.75</v>
      </c>
      <c r="L14" s="22">
        <f t="shared" si="6"/>
        <v>322008.75</v>
      </c>
    </row>
    <row r="15" spans="1:12" ht="12.75">
      <c r="A15">
        <v>1701</v>
      </c>
      <c r="B15" s="21" t="s">
        <v>15</v>
      </c>
      <c r="C15" s="29">
        <v>47</v>
      </c>
      <c r="D15" s="15">
        <v>75</v>
      </c>
      <c r="E15" s="29">
        <v>6</v>
      </c>
      <c r="F15" s="26">
        <f t="shared" si="0"/>
        <v>288781.4423076923</v>
      </c>
      <c r="G15" s="17">
        <f t="shared" si="1"/>
        <v>321406.4423076923</v>
      </c>
      <c r="H15" s="18">
        <f t="shared" si="2"/>
        <v>256156.44230769228</v>
      </c>
      <c r="I15" s="17">
        <f t="shared" si="3"/>
        <v>190906.44230769228</v>
      </c>
      <c r="J15" s="18">
        <f t="shared" si="4"/>
        <v>321406.4423076923</v>
      </c>
      <c r="K15" s="17">
        <f t="shared" si="5"/>
        <v>451906.44230769225</v>
      </c>
      <c r="L15" s="22">
        <f t="shared" si="6"/>
        <v>451906.44230769225</v>
      </c>
    </row>
    <row r="16" spans="1:12" ht="12.75">
      <c r="A16">
        <v>2001</v>
      </c>
      <c r="B16" s="21" t="s">
        <v>16</v>
      </c>
      <c r="C16" s="29">
        <v>52</v>
      </c>
      <c r="D16" s="15">
        <v>100</v>
      </c>
      <c r="E16" s="29">
        <v>7</v>
      </c>
      <c r="F16" s="26">
        <f t="shared" si="0"/>
        <v>360615</v>
      </c>
      <c r="G16" s="17">
        <f t="shared" si="1"/>
        <v>404115</v>
      </c>
      <c r="H16" s="18">
        <f t="shared" si="2"/>
        <v>317115</v>
      </c>
      <c r="I16" s="17">
        <f t="shared" si="3"/>
        <v>230115</v>
      </c>
      <c r="J16" s="18">
        <f t="shared" si="4"/>
        <v>404115</v>
      </c>
      <c r="K16" s="17">
        <f t="shared" si="5"/>
        <v>578115</v>
      </c>
      <c r="L16" s="22">
        <f t="shared" si="6"/>
        <v>578115</v>
      </c>
    </row>
    <row r="17" spans="1:12" ht="12.75">
      <c r="A17">
        <v>2501</v>
      </c>
      <c r="B17" s="21" t="s">
        <v>17</v>
      </c>
      <c r="C17" s="29">
        <v>104</v>
      </c>
      <c r="D17" s="15">
        <v>200</v>
      </c>
      <c r="E17" s="29">
        <v>8</v>
      </c>
      <c r="F17" s="26">
        <f t="shared" si="0"/>
        <v>653370</v>
      </c>
      <c r="G17" s="17">
        <f t="shared" si="1"/>
        <v>740370</v>
      </c>
      <c r="H17" s="18">
        <f t="shared" si="2"/>
        <v>566370</v>
      </c>
      <c r="I17" s="17">
        <f t="shared" si="3"/>
        <v>392370</v>
      </c>
      <c r="J17" s="18">
        <f t="shared" si="4"/>
        <v>740370</v>
      </c>
      <c r="K17" s="17">
        <f t="shared" si="5"/>
        <v>1088370</v>
      </c>
      <c r="L17" s="22">
        <f t="shared" si="6"/>
        <v>1088370</v>
      </c>
    </row>
    <row r="18" spans="1:12" ht="13.5" thickBot="1">
      <c r="A18">
        <v>3001</v>
      </c>
      <c r="B18" s="21" t="s">
        <v>18</v>
      </c>
      <c r="C18" s="29">
        <v>156</v>
      </c>
      <c r="D18" s="15">
        <v>400</v>
      </c>
      <c r="E18" s="12">
        <v>10</v>
      </c>
      <c r="F18" s="26">
        <f t="shared" si="0"/>
        <v>1174935</v>
      </c>
      <c r="G18" s="17">
        <f t="shared" si="1"/>
        <v>1348935</v>
      </c>
      <c r="H18" s="18">
        <f t="shared" si="2"/>
        <v>1000935</v>
      </c>
      <c r="I18" s="17">
        <f t="shared" si="3"/>
        <v>652935</v>
      </c>
      <c r="J18" s="18">
        <f t="shared" si="4"/>
        <v>1348935</v>
      </c>
      <c r="K18" s="17">
        <f t="shared" si="5"/>
        <v>2044935</v>
      </c>
      <c r="L18" s="22">
        <f t="shared" si="6"/>
        <v>2044935</v>
      </c>
    </row>
    <row r="19" spans="1:14" ht="13.5" thickBot="1">
      <c r="A19">
        <v>4001</v>
      </c>
      <c r="B19" s="23" t="s">
        <v>19</v>
      </c>
      <c r="C19" s="4">
        <v>260</v>
      </c>
      <c r="D19" s="24">
        <v>500</v>
      </c>
      <c r="E19" s="25">
        <v>20</v>
      </c>
      <c r="F19" s="28">
        <f t="shared" si="0"/>
        <v>1633425</v>
      </c>
      <c r="G19" s="33">
        <f t="shared" si="1"/>
        <v>1850925</v>
      </c>
      <c r="H19" s="34">
        <f t="shared" si="2"/>
        <v>1415925</v>
      </c>
      <c r="I19" s="33">
        <f t="shared" si="3"/>
        <v>980925</v>
      </c>
      <c r="J19" s="34">
        <f t="shared" si="4"/>
        <v>1850925</v>
      </c>
      <c r="K19" s="33">
        <f t="shared" si="5"/>
        <v>2720925</v>
      </c>
      <c r="L19" s="35">
        <f t="shared" si="6"/>
        <v>2720925</v>
      </c>
      <c r="N19"/>
    </row>
    <row r="20" spans="9:10" ht="12.75">
      <c r="I20" s="3"/>
      <c r="J20" s="3"/>
    </row>
    <row r="21" spans="2:14" ht="12.75">
      <c r="B21" s="167" t="s">
        <v>900</v>
      </c>
      <c r="C21" s="167"/>
      <c r="D21" s="1" t="s">
        <v>0</v>
      </c>
      <c r="E21" s="1" t="s">
        <v>21</v>
      </c>
      <c r="F21" s="168" t="s">
        <v>886</v>
      </c>
      <c r="G21" s="168"/>
      <c r="H21" s="151" t="s">
        <v>897</v>
      </c>
      <c r="I21" s="151" t="s">
        <v>703</v>
      </c>
      <c r="J21" s="151" t="s">
        <v>705</v>
      </c>
      <c r="K21" s="1" t="s">
        <v>890</v>
      </c>
      <c r="L21" s="151" t="s">
        <v>887</v>
      </c>
      <c r="M21" s="1" t="s">
        <v>895</v>
      </c>
      <c r="N21" s="1" t="s">
        <v>894</v>
      </c>
    </row>
    <row r="22" spans="2:14" ht="12.75">
      <c r="B22" s="168" t="s">
        <v>702</v>
      </c>
      <c r="C22" s="168"/>
      <c r="D22" s="1" t="s">
        <v>896</v>
      </c>
      <c r="E22" s="1" t="s">
        <v>22</v>
      </c>
      <c r="F22" s="196" t="s">
        <v>704</v>
      </c>
      <c r="G22" s="196"/>
      <c r="H22" s="1" t="s">
        <v>898</v>
      </c>
      <c r="I22" s="1" t="s">
        <v>898</v>
      </c>
      <c r="J22" s="1" t="s">
        <v>898</v>
      </c>
      <c r="K22" s="1" t="s">
        <v>898</v>
      </c>
      <c r="L22" s="1" t="s">
        <v>898</v>
      </c>
      <c r="M22" s="1" t="s">
        <v>899</v>
      </c>
      <c r="N22" s="1" t="s">
        <v>899</v>
      </c>
    </row>
    <row r="23" spans="2:14" ht="12.75">
      <c r="B23" s="169" t="s">
        <v>699</v>
      </c>
      <c r="C23" s="197"/>
      <c r="D23" s="161">
        <f>VLOOKUP(H27,ShapingCost,3,TRUE)</f>
        <v>8</v>
      </c>
      <c r="E23" s="198">
        <f>VLOOKUP(H27,ShapingCost,5,TRUE)</f>
        <v>0</v>
      </c>
      <c r="F23" s="197" t="s">
        <v>901</v>
      </c>
      <c r="G23" s="170"/>
      <c r="H23" s="162">
        <f>VLOOKUP(F23,CostTable,2,FALSE)</f>
        <v>30</v>
      </c>
      <c r="I23" s="162">
        <f>H23*VLOOKUP(H27,ShapingCost,4,TRUE)*VLOOKUP(B23,PrepCosts,2,FALSE)</f>
        <v>3600</v>
      </c>
      <c r="J23" s="163">
        <f>VLOOKUP(H27,ShapingCost,3,TRUE)*O3/52</f>
        <v>1592.3076923076924</v>
      </c>
      <c r="K23" s="162">
        <f>SUM(J32:J41,J45:J54,J58:J67,J71:J80,J84:J93,J97:J104,J108:J109)</f>
        <v>0</v>
      </c>
      <c r="L23" s="164">
        <f>J23+I23+K23</f>
        <v>5192.307692307692</v>
      </c>
      <c r="M23" s="165">
        <f>VLOOKUP(H27,ShapingCost,VLOOKUP(B23,PrepCosts,3,FALSE),TRUE)</f>
        <v>20277.69230769231</v>
      </c>
      <c r="N23" s="166">
        <f>M23-L23</f>
        <v>15085.384615384617</v>
      </c>
    </row>
    <row r="24" spans="6:11" ht="12.75">
      <c r="F24" s="1"/>
      <c r="G24" s="2"/>
      <c r="I24" s="3"/>
      <c r="J24" s="3"/>
      <c r="K24" s="156" t="s">
        <v>891</v>
      </c>
    </row>
    <row r="25" spans="6:11" ht="13.5" thickBot="1">
      <c r="F25" s="1"/>
      <c r="G25" s="2"/>
      <c r="K25" s="156" t="s">
        <v>892</v>
      </c>
    </row>
    <row r="26" spans="2:12" ht="13.5" thickBot="1">
      <c r="B26" s="183" t="s">
        <v>438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5"/>
    </row>
    <row r="27" spans="6:8" ht="12.75">
      <c r="F27" s="178" t="s">
        <v>608</v>
      </c>
      <c r="G27" s="178"/>
      <c r="H27" s="127">
        <f>H30+H43+H56+H69+H82+H95+H106</f>
        <v>200</v>
      </c>
    </row>
    <row r="28" ht="12.75">
      <c r="F28" s="10"/>
    </row>
    <row r="29" spans="6:10" ht="12.75">
      <c r="F29" s="10"/>
      <c r="H29" s="1" t="s">
        <v>611</v>
      </c>
      <c r="J29" s="1" t="s">
        <v>888</v>
      </c>
    </row>
    <row r="30" spans="3:10" ht="12.75">
      <c r="C30" s="101" t="s">
        <v>893</v>
      </c>
      <c r="F30" s="10"/>
      <c r="G30" s="1" t="s">
        <v>609</v>
      </c>
      <c r="H30" s="1">
        <f>SUM(G32:G41)</f>
        <v>0</v>
      </c>
      <c r="J30" s="1" t="s">
        <v>889</v>
      </c>
    </row>
    <row r="31" spans="3:6" ht="12.75">
      <c r="C31" s="179" t="s">
        <v>607</v>
      </c>
      <c r="D31" s="179"/>
      <c r="E31" s="179"/>
      <c r="F31" s="10"/>
    </row>
    <row r="32" spans="3:12" ht="12.75">
      <c r="C32" s="173"/>
      <c r="D32" s="174"/>
      <c r="E32" s="175"/>
      <c r="F32" s="10"/>
      <c r="G32" s="3">
        <f>IF(C32="","",50)</f>
      </c>
      <c r="J32" s="147"/>
      <c r="L32" s="143"/>
    </row>
    <row r="33" spans="3:10" ht="12.75">
      <c r="C33" s="173"/>
      <c r="D33" s="174"/>
      <c r="E33" s="175"/>
      <c r="F33" s="10"/>
      <c r="G33" s="3">
        <f aca="true" t="shared" si="7" ref="G33:G41">IF(C33="","",50)</f>
      </c>
      <c r="J33" s="147"/>
    </row>
    <row r="34" spans="3:10" ht="12.75">
      <c r="C34" s="173"/>
      <c r="D34" s="174"/>
      <c r="E34" s="175"/>
      <c r="F34" s="10"/>
      <c r="G34" s="3">
        <f t="shared" si="7"/>
      </c>
      <c r="J34" s="147"/>
    </row>
    <row r="35" spans="3:10" ht="12.75">
      <c r="C35" s="173"/>
      <c r="D35" s="174"/>
      <c r="E35" s="175"/>
      <c r="F35" s="10"/>
      <c r="G35" s="3">
        <f t="shared" si="7"/>
      </c>
      <c r="J35" s="147"/>
    </row>
    <row r="36" spans="3:10" ht="12.75">
      <c r="C36" s="173"/>
      <c r="D36" s="174"/>
      <c r="E36" s="175"/>
      <c r="F36" s="10"/>
      <c r="G36" s="3">
        <f t="shared" si="7"/>
      </c>
      <c r="J36" s="147"/>
    </row>
    <row r="37" spans="3:10" ht="12.75">
      <c r="C37" s="173"/>
      <c r="D37" s="174"/>
      <c r="E37" s="175"/>
      <c r="F37" s="10"/>
      <c r="G37" s="3">
        <f t="shared" si="7"/>
      </c>
      <c r="J37" s="147"/>
    </row>
    <row r="38" spans="3:10" ht="12.75">
      <c r="C38" s="173"/>
      <c r="D38" s="174"/>
      <c r="E38" s="175"/>
      <c r="F38" s="10"/>
      <c r="G38" s="3">
        <f t="shared" si="7"/>
      </c>
      <c r="J38" s="147"/>
    </row>
    <row r="39" spans="3:10" ht="12.75">
      <c r="C39" s="173"/>
      <c r="D39" s="174"/>
      <c r="E39" s="175"/>
      <c r="F39" s="10"/>
      <c r="G39" s="3">
        <f t="shared" si="7"/>
      </c>
      <c r="J39" s="147"/>
    </row>
    <row r="40" spans="3:10" ht="12.75">
      <c r="C40" s="173"/>
      <c r="D40" s="174"/>
      <c r="E40" s="175"/>
      <c r="F40" s="10"/>
      <c r="G40" s="3">
        <f t="shared" si="7"/>
      </c>
      <c r="J40" s="147"/>
    </row>
    <row r="41" spans="3:10" ht="12.75">
      <c r="C41" s="173"/>
      <c r="D41" s="174"/>
      <c r="E41" s="175"/>
      <c r="F41" s="10"/>
      <c r="G41" s="3">
        <f t="shared" si="7"/>
      </c>
      <c r="J41" s="147"/>
    </row>
    <row r="43" spans="2:8" ht="12.75">
      <c r="B43" s="101" t="s">
        <v>439</v>
      </c>
      <c r="G43" s="1" t="s">
        <v>609</v>
      </c>
      <c r="H43" s="1">
        <f>SUM(G45:G54)</f>
        <v>200</v>
      </c>
    </row>
    <row r="44" spans="2:6" ht="12.75">
      <c r="B44" s="179" t="s">
        <v>610</v>
      </c>
      <c r="C44" s="179"/>
      <c r="D44" s="179"/>
      <c r="E44" s="179"/>
      <c r="F44" s="3" t="s">
        <v>47</v>
      </c>
    </row>
    <row r="45" spans="2:10" ht="12.75">
      <c r="B45" s="182" t="s">
        <v>430</v>
      </c>
      <c r="C45" s="182"/>
      <c r="D45" s="182"/>
      <c r="E45" s="182"/>
      <c r="F45" s="126">
        <v>9</v>
      </c>
      <c r="G45" s="2">
        <f aca="true" t="shared" si="8" ref="G45:G54">IF(B45="","",VLOOKUP(B45,TalentSpellEXPTable,2,FALSE))</f>
        <v>200</v>
      </c>
      <c r="J45" s="147"/>
    </row>
    <row r="46" spans="2:10" ht="12.75">
      <c r="B46" s="182"/>
      <c r="C46" s="182"/>
      <c r="D46" s="182"/>
      <c r="E46" s="182"/>
      <c r="F46" s="126"/>
      <c r="G46" s="2">
        <f t="shared" si="8"/>
      </c>
      <c r="J46" s="147"/>
    </row>
    <row r="47" spans="2:10" ht="12.75">
      <c r="B47" s="182"/>
      <c r="C47" s="182"/>
      <c r="D47" s="182"/>
      <c r="E47" s="182"/>
      <c r="F47" s="126"/>
      <c r="G47" s="2">
        <f t="shared" si="8"/>
      </c>
      <c r="J47" s="147"/>
    </row>
    <row r="48" spans="2:10" ht="12.75">
      <c r="B48" s="182"/>
      <c r="C48" s="182"/>
      <c r="D48" s="182"/>
      <c r="E48" s="182"/>
      <c r="F48" s="126"/>
      <c r="G48" s="2">
        <f t="shared" si="8"/>
      </c>
      <c r="J48" s="147"/>
    </row>
    <row r="49" spans="2:10" ht="12.75">
      <c r="B49" s="182"/>
      <c r="C49" s="182"/>
      <c r="D49" s="182"/>
      <c r="E49" s="182"/>
      <c r="F49" s="126"/>
      <c r="G49" s="2">
        <f t="shared" si="8"/>
      </c>
      <c r="J49" s="147"/>
    </row>
    <row r="50" spans="2:10" ht="12.75">
      <c r="B50" s="182"/>
      <c r="C50" s="182"/>
      <c r="D50" s="182"/>
      <c r="E50" s="182"/>
      <c r="F50" s="126"/>
      <c r="G50" s="2">
        <f t="shared" si="8"/>
      </c>
      <c r="J50" s="147"/>
    </row>
    <row r="51" spans="2:10" ht="12.75">
      <c r="B51" s="182"/>
      <c r="C51" s="182"/>
      <c r="D51" s="182"/>
      <c r="E51" s="182"/>
      <c r="F51" s="126"/>
      <c r="G51" s="2">
        <f t="shared" si="8"/>
      </c>
      <c r="J51" s="147"/>
    </row>
    <row r="52" spans="2:10" ht="12.75">
      <c r="B52" s="182"/>
      <c r="C52" s="182"/>
      <c r="D52" s="182"/>
      <c r="E52" s="182"/>
      <c r="F52" s="126"/>
      <c r="G52" s="2">
        <f t="shared" si="8"/>
      </c>
      <c r="J52" s="147"/>
    </row>
    <row r="53" spans="2:10" ht="12.75">
      <c r="B53" s="182"/>
      <c r="C53" s="182"/>
      <c r="D53" s="182"/>
      <c r="E53" s="182"/>
      <c r="F53" s="126"/>
      <c r="G53" s="2">
        <f t="shared" si="8"/>
      </c>
      <c r="J53" s="147"/>
    </row>
    <row r="54" spans="2:10" ht="12.75">
      <c r="B54" s="182"/>
      <c r="C54" s="182"/>
      <c r="D54" s="182"/>
      <c r="E54" s="182"/>
      <c r="F54" s="126"/>
      <c r="G54" s="2">
        <f t="shared" si="8"/>
      </c>
      <c r="J54" s="147"/>
    </row>
    <row r="55" spans="3:7" ht="12.75">
      <c r="C55" s="121"/>
      <c r="D55" s="121"/>
      <c r="E55" s="121"/>
      <c r="F55" s="121"/>
      <c r="G55" s="2"/>
    </row>
    <row r="56" spans="3:8" ht="12.75">
      <c r="C56" s="102" t="s">
        <v>440</v>
      </c>
      <c r="G56" s="1" t="s">
        <v>609</v>
      </c>
      <c r="H56" s="1">
        <f>SUM(G58:G67)</f>
        <v>0</v>
      </c>
    </row>
    <row r="57" spans="3:5" ht="12.75">
      <c r="C57" s="180" t="s">
        <v>507</v>
      </c>
      <c r="D57" s="180"/>
      <c r="E57" s="3" t="s">
        <v>47</v>
      </c>
    </row>
    <row r="58" spans="3:10" ht="12.75">
      <c r="C58" s="177"/>
      <c r="D58" s="177"/>
      <c r="E58" s="126"/>
      <c r="G58" s="2">
        <f aca="true" t="shared" si="9" ref="G58:G67">IF(C58="","",100+(VLOOKUP(C58,SkillsEXP,E58+2,FALSE)/10))</f>
      </c>
      <c r="J58" s="147"/>
    </row>
    <row r="59" spans="3:10" ht="12.75">
      <c r="C59" s="177"/>
      <c r="D59" s="177"/>
      <c r="E59" s="126"/>
      <c r="G59" s="2">
        <f t="shared" si="9"/>
      </c>
      <c r="J59" s="147"/>
    </row>
    <row r="60" spans="3:10" ht="12.75">
      <c r="C60" s="177"/>
      <c r="D60" s="177"/>
      <c r="E60" s="126"/>
      <c r="G60" s="2">
        <f t="shared" si="9"/>
      </c>
      <c r="J60" s="147"/>
    </row>
    <row r="61" spans="3:10" ht="12.75">
      <c r="C61" s="177"/>
      <c r="D61" s="177"/>
      <c r="E61" s="126"/>
      <c r="G61" s="2">
        <f t="shared" si="9"/>
      </c>
      <c r="J61" s="147"/>
    </row>
    <row r="62" spans="3:10" ht="12.75">
      <c r="C62" s="177"/>
      <c r="D62" s="177"/>
      <c r="E62" s="126"/>
      <c r="G62" s="2">
        <f t="shared" si="9"/>
      </c>
      <c r="J62" s="147"/>
    </row>
    <row r="63" spans="3:10" ht="12.75">
      <c r="C63" s="177"/>
      <c r="D63" s="177"/>
      <c r="E63" s="126"/>
      <c r="G63" s="2">
        <f t="shared" si="9"/>
      </c>
      <c r="J63" s="147"/>
    </row>
    <row r="64" spans="3:10" ht="12.75">
      <c r="C64" s="177"/>
      <c r="D64" s="177"/>
      <c r="E64" s="126"/>
      <c r="G64" s="2">
        <f t="shared" si="9"/>
      </c>
      <c r="J64" s="147"/>
    </row>
    <row r="65" spans="3:10" ht="12.75">
      <c r="C65" s="177"/>
      <c r="D65" s="177"/>
      <c r="E65" s="126"/>
      <c r="G65" s="2">
        <f t="shared" si="9"/>
      </c>
      <c r="J65" s="147"/>
    </row>
    <row r="66" spans="3:10" ht="12.75">
      <c r="C66" s="177"/>
      <c r="D66" s="177"/>
      <c r="E66" s="126"/>
      <c r="G66" s="2">
        <f t="shared" si="9"/>
      </c>
      <c r="J66" s="147"/>
    </row>
    <row r="67" spans="3:10" ht="12.75">
      <c r="C67" s="177"/>
      <c r="D67" s="177"/>
      <c r="E67" s="126"/>
      <c r="G67" s="2">
        <f t="shared" si="9"/>
      </c>
      <c r="J67" s="147"/>
    </row>
    <row r="69" spans="3:8" ht="12.75">
      <c r="C69" s="102" t="s">
        <v>508</v>
      </c>
      <c r="G69" s="1" t="s">
        <v>609</v>
      </c>
      <c r="H69" s="1">
        <f>SUM(G71:G80)</f>
        <v>0</v>
      </c>
    </row>
    <row r="70" spans="3:5" ht="12.75">
      <c r="C70" s="180" t="s">
        <v>507</v>
      </c>
      <c r="D70" s="180"/>
      <c r="E70" s="3" t="s">
        <v>47</v>
      </c>
    </row>
    <row r="71" spans="3:10" ht="12.75">
      <c r="C71" s="177"/>
      <c r="D71" s="177"/>
      <c r="E71" s="126"/>
      <c r="G71" s="2">
        <f aca="true" t="shared" si="10" ref="G71:G80">IF(C71="","",(VLOOKUP(C71,WeaponsEXP,E71+2,FALSE)/5))</f>
      </c>
      <c r="J71" s="147"/>
    </row>
    <row r="72" spans="3:10" ht="12.75">
      <c r="C72" s="177"/>
      <c r="D72" s="177"/>
      <c r="E72" s="126"/>
      <c r="G72" s="2">
        <f t="shared" si="10"/>
      </c>
      <c r="J72" s="147"/>
    </row>
    <row r="73" spans="3:10" ht="12.75">
      <c r="C73" s="177"/>
      <c r="D73" s="177"/>
      <c r="E73" s="126"/>
      <c r="G73" s="2">
        <f t="shared" si="10"/>
      </c>
      <c r="J73" s="147"/>
    </row>
    <row r="74" spans="3:10" ht="12.75">
      <c r="C74" s="177"/>
      <c r="D74" s="177"/>
      <c r="E74" s="126"/>
      <c r="G74" s="2">
        <f t="shared" si="10"/>
      </c>
      <c r="J74" s="147"/>
    </row>
    <row r="75" spans="3:10" ht="12.75">
      <c r="C75" s="177"/>
      <c r="D75" s="177"/>
      <c r="E75" s="126"/>
      <c r="G75" s="2">
        <f t="shared" si="10"/>
      </c>
      <c r="J75" s="147"/>
    </row>
    <row r="76" spans="3:10" ht="12.75">
      <c r="C76" s="177"/>
      <c r="D76" s="177"/>
      <c r="E76" s="126"/>
      <c r="G76" s="2">
        <f t="shared" si="10"/>
      </c>
      <c r="J76" s="147"/>
    </row>
    <row r="77" spans="3:10" ht="12.75">
      <c r="C77" s="177"/>
      <c r="D77" s="177"/>
      <c r="E77" s="126"/>
      <c r="G77" s="2">
        <f t="shared" si="10"/>
      </c>
      <c r="J77" s="147"/>
    </row>
    <row r="78" spans="3:10" ht="12.75">
      <c r="C78" s="177"/>
      <c r="D78" s="177"/>
      <c r="E78" s="126"/>
      <c r="G78" s="2">
        <f t="shared" si="10"/>
      </c>
      <c r="J78" s="147"/>
    </row>
    <row r="79" spans="3:10" ht="12.75">
      <c r="C79" s="177"/>
      <c r="D79" s="177"/>
      <c r="E79" s="126"/>
      <c r="G79" s="2">
        <f t="shared" si="10"/>
      </c>
      <c r="J79" s="147"/>
    </row>
    <row r="80" spans="3:10" ht="12.75">
      <c r="C80" s="177"/>
      <c r="D80" s="177"/>
      <c r="E80" s="126"/>
      <c r="G80" s="2">
        <f t="shared" si="10"/>
      </c>
      <c r="J80" s="147"/>
    </row>
    <row r="82" spans="3:8" ht="12.75">
      <c r="C82" s="102" t="s">
        <v>597</v>
      </c>
      <c r="G82" s="1" t="s">
        <v>609</v>
      </c>
      <c r="H82" s="1">
        <f>SUM(G84:G93)</f>
        <v>0</v>
      </c>
    </row>
    <row r="83" spans="3:6" ht="12.75">
      <c r="C83" s="180" t="s">
        <v>452</v>
      </c>
      <c r="D83" s="180"/>
      <c r="E83" s="3" t="s">
        <v>47</v>
      </c>
      <c r="F83" s="3"/>
    </row>
    <row r="84" spans="3:10" ht="12.75">
      <c r="C84" s="181"/>
      <c r="D84" s="177"/>
      <c r="E84" s="126"/>
      <c r="G84" s="2">
        <f aca="true" t="shared" si="11" ref="G84:G93">IF(C84="","",(VLOOKUP("Language",LanguageEXP,E84+2,FALSE)/10))</f>
      </c>
      <c r="J84" s="147"/>
    </row>
    <row r="85" spans="3:10" ht="12.75">
      <c r="C85" s="181"/>
      <c r="D85" s="177"/>
      <c r="E85" s="126"/>
      <c r="G85" s="2">
        <f t="shared" si="11"/>
      </c>
      <c r="J85" s="147"/>
    </row>
    <row r="86" spans="3:10" ht="12.75">
      <c r="C86" s="177"/>
      <c r="D86" s="177"/>
      <c r="E86" s="126"/>
      <c r="G86" s="2">
        <f t="shared" si="11"/>
      </c>
      <c r="J86" s="147"/>
    </row>
    <row r="87" spans="3:10" ht="12.75">
      <c r="C87" s="177"/>
      <c r="D87" s="177"/>
      <c r="E87" s="126"/>
      <c r="G87" s="2">
        <f t="shared" si="11"/>
      </c>
      <c r="J87" s="147"/>
    </row>
    <row r="88" spans="3:10" ht="12.75">
      <c r="C88" s="177"/>
      <c r="D88" s="177"/>
      <c r="E88" s="126"/>
      <c r="G88" s="2">
        <f t="shared" si="11"/>
      </c>
      <c r="J88" s="147"/>
    </row>
    <row r="89" spans="3:10" ht="12.75">
      <c r="C89" s="177"/>
      <c r="D89" s="177"/>
      <c r="E89" s="126"/>
      <c r="G89" s="2">
        <f t="shared" si="11"/>
      </c>
      <c r="J89" s="147"/>
    </row>
    <row r="90" spans="3:10" ht="12.75">
      <c r="C90" s="177"/>
      <c r="D90" s="177"/>
      <c r="E90" s="126"/>
      <c r="G90" s="2">
        <f t="shared" si="11"/>
      </c>
      <c r="J90" s="147"/>
    </row>
    <row r="91" spans="3:10" ht="12.75">
      <c r="C91" s="177"/>
      <c r="D91" s="177"/>
      <c r="E91" s="126"/>
      <c r="G91" s="2">
        <f t="shared" si="11"/>
      </c>
      <c r="J91" s="147"/>
    </row>
    <row r="92" spans="3:10" ht="12.75">
      <c r="C92" s="177"/>
      <c r="D92" s="177"/>
      <c r="E92" s="126"/>
      <c r="G92" s="2">
        <f t="shared" si="11"/>
      </c>
      <c r="J92" s="147"/>
    </row>
    <row r="93" spans="3:10" ht="12.75">
      <c r="C93" s="177"/>
      <c r="D93" s="177"/>
      <c r="E93" s="126"/>
      <c r="G93" s="2">
        <f t="shared" si="11"/>
      </c>
      <c r="J93" s="147"/>
    </row>
    <row r="95" spans="3:8" ht="12.75">
      <c r="C95" s="101" t="s">
        <v>598</v>
      </c>
      <c r="G95" s="1" t="s">
        <v>609</v>
      </c>
      <c r="H95" s="1">
        <f>SUM(G97:G104)</f>
        <v>0</v>
      </c>
    </row>
    <row r="96" ht="12.75">
      <c r="E96" s="3" t="s">
        <v>603</v>
      </c>
    </row>
    <row r="97" spans="3:10" ht="12.75">
      <c r="C97" s="176" t="s">
        <v>599</v>
      </c>
      <c r="D97" s="176"/>
      <c r="E97" s="126"/>
      <c r="G97" s="3">
        <f>IF(E97="","",E97*5000/10)</f>
      </c>
      <c r="J97" s="147"/>
    </row>
    <row r="98" spans="3:10" ht="12.75">
      <c r="C98" s="176" t="s">
        <v>600</v>
      </c>
      <c r="D98" s="176"/>
      <c r="E98" s="126"/>
      <c r="G98" s="3">
        <f>IF(E98="","",E98*5000/10)</f>
      </c>
      <c r="J98" s="147"/>
    </row>
    <row r="99" spans="3:10" ht="12.75">
      <c r="C99" s="176" t="s">
        <v>601</v>
      </c>
      <c r="D99" s="176"/>
      <c r="E99" s="126"/>
      <c r="G99" s="3">
        <f>IF(E99="","",E99*5000/10)</f>
      </c>
      <c r="J99" s="147"/>
    </row>
    <row r="100" spans="3:10" ht="12.75">
      <c r="C100" s="176" t="s">
        <v>602</v>
      </c>
      <c r="D100" s="176"/>
      <c r="E100" s="126"/>
      <c r="G100" s="3">
        <f>IF(E100="","",E100*5000/10)</f>
      </c>
      <c r="J100" s="147"/>
    </row>
    <row r="101" spans="3:10" ht="12.75">
      <c r="C101" s="176" t="s">
        <v>604</v>
      </c>
      <c r="D101" s="176"/>
      <c r="E101" s="126"/>
      <c r="G101" s="3">
        <f>IF(E101="","",E101*5000/10)</f>
      </c>
      <c r="J101" s="147"/>
    </row>
    <row r="102" spans="3:10" ht="12.75">
      <c r="C102" s="176" t="s">
        <v>21</v>
      </c>
      <c r="D102" s="176"/>
      <c r="E102" s="126"/>
      <c r="G102" s="3">
        <f>IF(E102="","",(5000+(E102-1)*2500)/10)</f>
      </c>
      <c r="J102" s="147"/>
    </row>
    <row r="103" spans="3:10" ht="12.75">
      <c r="C103" s="176" t="s">
        <v>605</v>
      </c>
      <c r="D103" s="176"/>
      <c r="E103" s="126"/>
      <c r="G103" s="3">
        <f>IF(E103="","",E103*2500/10)</f>
      </c>
      <c r="J103" s="147"/>
    </row>
    <row r="104" spans="3:10" ht="12.75">
      <c r="C104" s="176" t="s">
        <v>606</v>
      </c>
      <c r="D104" s="176"/>
      <c r="E104" s="126"/>
      <c r="G104" s="3">
        <f>IF(E104="","",(1000+(E104-1)*750)/10)</f>
      </c>
      <c r="J104" s="147"/>
    </row>
    <row r="105" ht="12.75">
      <c r="J105" s="147"/>
    </row>
    <row r="106" spans="3:8" ht="12.75">
      <c r="C106" s="101" t="s">
        <v>612</v>
      </c>
      <c r="G106" s="1" t="s">
        <v>609</v>
      </c>
      <c r="H106" s="1">
        <f>SUM(G108:G109)</f>
        <v>0</v>
      </c>
    </row>
    <row r="107" ht="12.75">
      <c r="E107" s="3" t="s">
        <v>613</v>
      </c>
    </row>
    <row r="108" spans="3:10" ht="12.75">
      <c r="C108" s="171" t="s">
        <v>615</v>
      </c>
      <c r="D108" s="171"/>
      <c r="E108" s="126"/>
      <c r="G108" s="3">
        <f>IF(E108="","",E108*120)</f>
      </c>
      <c r="J108" s="147"/>
    </row>
    <row r="109" spans="2:10" ht="12.75">
      <c r="B109" s="172" t="s">
        <v>614</v>
      </c>
      <c r="C109" s="172"/>
      <c r="D109" s="172"/>
      <c r="E109" s="126"/>
      <c r="G109" s="3">
        <f>IF(E109="","",E109*1800)</f>
      </c>
      <c r="J109" s="147"/>
    </row>
  </sheetData>
  <sheetProtection/>
  <mergeCells count="73">
    <mergeCell ref="B26:L26"/>
    <mergeCell ref="F21:G21"/>
    <mergeCell ref="F22:G22"/>
    <mergeCell ref="F23:G23"/>
    <mergeCell ref="B45:E45"/>
    <mergeCell ref="B46:E46"/>
    <mergeCell ref="B47:E47"/>
    <mergeCell ref="B48:E48"/>
    <mergeCell ref="B49:E49"/>
    <mergeCell ref="C35:E35"/>
    <mergeCell ref="C36:E36"/>
    <mergeCell ref="C37:E37"/>
    <mergeCell ref="B50:E50"/>
    <mergeCell ref="B51:E51"/>
    <mergeCell ref="B52:E52"/>
    <mergeCell ref="B53:E53"/>
    <mergeCell ref="B54:E54"/>
    <mergeCell ref="C58:D58"/>
    <mergeCell ref="C57:D5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90:D90"/>
    <mergeCell ref="C91:D91"/>
    <mergeCell ref="C92:D92"/>
    <mergeCell ref="C79:D79"/>
    <mergeCell ref="C80:D80"/>
    <mergeCell ref="C83:D83"/>
    <mergeCell ref="C84:D84"/>
    <mergeCell ref="C85:D85"/>
    <mergeCell ref="C86:D86"/>
    <mergeCell ref="C102:D102"/>
    <mergeCell ref="C103:D103"/>
    <mergeCell ref="C104:D104"/>
    <mergeCell ref="C93:D93"/>
    <mergeCell ref="C97:D97"/>
    <mergeCell ref="C98:D98"/>
    <mergeCell ref="C99:D99"/>
    <mergeCell ref="C101:D101"/>
    <mergeCell ref="C87:D87"/>
    <mergeCell ref="F27:G27"/>
    <mergeCell ref="C31:E31"/>
    <mergeCell ref="C32:E32"/>
    <mergeCell ref="C33:E33"/>
    <mergeCell ref="C34:E34"/>
    <mergeCell ref="B44:E44"/>
    <mergeCell ref="C88:D88"/>
    <mergeCell ref="C89:D89"/>
    <mergeCell ref="B21:C21"/>
    <mergeCell ref="B22:C22"/>
    <mergeCell ref="B23:C23"/>
    <mergeCell ref="C108:D108"/>
    <mergeCell ref="B109:D109"/>
    <mergeCell ref="C38:E38"/>
    <mergeCell ref="C39:E39"/>
    <mergeCell ref="C40:E40"/>
    <mergeCell ref="C41:E41"/>
    <mergeCell ref="C100:D100"/>
  </mergeCells>
  <dataValidations count="5">
    <dataValidation type="list" allowBlank="1" showInputMessage="1" showErrorMessage="1" sqref="F23">
      <formula1>CostList</formula1>
    </dataValidation>
    <dataValidation type="list" allowBlank="1" showInputMessage="1" showErrorMessage="1" sqref="B23">
      <formula1>PrepRitual</formula1>
    </dataValidation>
    <dataValidation type="list" allowBlank="1" showInputMessage="1" showErrorMessage="1" sqref="B45:B54">
      <formula1>TalentandSpellList</formula1>
    </dataValidation>
    <dataValidation type="list" allowBlank="1" showInputMessage="1" showErrorMessage="1" sqref="C58:D67">
      <formula1>SkillsList</formula1>
    </dataValidation>
    <dataValidation type="list" allowBlank="1" showInputMessage="1" showErrorMessage="1" sqref="C71:D80">
      <formula1>WeaponsList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H2" sqref="H2"/>
    </sheetView>
  </sheetViews>
  <sheetFormatPr defaultColWidth="9.140625" defaultRowHeight="12.75"/>
  <cols>
    <col min="7" max="7" width="2.421875" style="0" customWidth="1"/>
    <col min="8" max="8" width="4.7109375" style="0" bestFit="1" customWidth="1"/>
    <col min="9" max="9" width="7.57421875" style="0" bestFit="1" customWidth="1"/>
    <col min="10" max="10" width="23.57421875" style="0" bestFit="1" customWidth="1"/>
    <col min="12" max="12" width="69.28125" style="0" bestFit="1" customWidth="1"/>
  </cols>
  <sheetData>
    <row r="1" spans="8:12" ht="12.75">
      <c r="H1" s="132" t="s">
        <v>627</v>
      </c>
      <c r="I1" s="133" t="s">
        <v>616</v>
      </c>
      <c r="J1" s="133" t="s">
        <v>617</v>
      </c>
      <c r="K1" s="133" t="s">
        <v>618</v>
      </c>
      <c r="L1" s="134" t="s">
        <v>619</v>
      </c>
    </row>
    <row r="2" spans="1:12" ht="13.5" thickBot="1">
      <c r="A2" s="100" t="s">
        <v>235</v>
      </c>
      <c r="C2" s="182" t="s">
        <v>299</v>
      </c>
      <c r="D2" s="182"/>
      <c r="E2" s="182"/>
      <c r="F2" s="182"/>
      <c r="H2" s="135" t="str">
        <f>VLOOKUP($C$2,TalentSpellEXPTable,4,FALSE)&amp;"%"</f>
        <v>88%</v>
      </c>
      <c r="I2" s="136" t="str">
        <f>VLOOKUP($C$2,TalentSpellEXPTable,5,FALSE)</f>
        <v>240 feet</v>
      </c>
      <c r="J2" s="136" t="str">
        <f>VLOOKUP($C$2,TalentSpellEXPTable,6,FALSE)</f>
        <v>160 seconds</v>
      </c>
      <c r="K2" s="136" t="str">
        <f>VLOOKUP($C$2,TalentSpellEXPTable,7,FALSE)</f>
        <v>N/A</v>
      </c>
      <c r="L2" s="137">
        <f>IF(VLOOKUP($C$2,TalentSpellEXPTable,8,FALSE)="","",VLOOKUP($C$2,TalentSpellEXPTable,8,FALSE))</f>
      </c>
    </row>
    <row r="4" spans="2:6" ht="13.5" thickBot="1">
      <c r="B4" s="186" t="s">
        <v>43</v>
      </c>
      <c r="C4" s="186"/>
      <c r="D4" s="186"/>
      <c r="E4" s="186"/>
      <c r="F4" s="186"/>
    </row>
    <row r="5" spans="2:6" ht="12.75">
      <c r="B5" s="36"/>
      <c r="C5" s="37" t="s">
        <v>40</v>
      </c>
      <c r="D5" s="37" t="s">
        <v>40</v>
      </c>
      <c r="E5" s="37" t="s">
        <v>40</v>
      </c>
      <c r="F5" s="38"/>
    </row>
    <row r="6" spans="2:6" ht="13.5" thickBot="1">
      <c r="B6" s="39" t="s">
        <v>39</v>
      </c>
      <c r="C6" s="40" t="s">
        <v>38</v>
      </c>
      <c r="D6" s="40" t="s">
        <v>41</v>
      </c>
      <c r="E6" s="40" t="s">
        <v>42</v>
      </c>
      <c r="F6" s="195" t="s">
        <v>895</v>
      </c>
    </row>
    <row r="7" spans="2:6" ht="12.75">
      <c r="B7" s="2">
        <f>VLOOKUP(C2,TalentSpellEXPTable,2,FALSE)</f>
        <v>200</v>
      </c>
      <c r="C7" s="129">
        <v>15</v>
      </c>
      <c r="D7" s="129">
        <v>7</v>
      </c>
      <c r="E7" s="129">
        <v>6</v>
      </c>
      <c r="F7" s="131">
        <f>(((B7*C7)+(500*D7))+(50*E7))*2</f>
        <v>13600</v>
      </c>
    </row>
    <row r="9" spans="2:6" ht="13.5" thickBot="1">
      <c r="B9" s="168" t="s">
        <v>44</v>
      </c>
      <c r="C9" s="168"/>
      <c r="D9" s="168"/>
      <c r="E9" s="168"/>
      <c r="F9" s="168"/>
    </row>
    <row r="10" spans="2:5" ht="12.75">
      <c r="B10" s="36"/>
      <c r="C10" s="37" t="s">
        <v>40</v>
      </c>
      <c r="D10" s="37" t="s">
        <v>40</v>
      </c>
      <c r="E10" s="38"/>
    </row>
    <row r="11" spans="2:5" ht="13.5" thickBot="1">
      <c r="B11" s="39" t="s">
        <v>39</v>
      </c>
      <c r="C11" s="40" t="s">
        <v>38</v>
      </c>
      <c r="D11" s="40" t="s">
        <v>41</v>
      </c>
      <c r="E11" s="195" t="s">
        <v>895</v>
      </c>
    </row>
    <row r="12" spans="2:5" ht="12.75">
      <c r="B12" s="2">
        <f>VLOOKUP(C2,TalentSpellEXPTable,2,FALSE)</f>
        <v>200</v>
      </c>
      <c r="C12" s="128">
        <f>C7</f>
        <v>15</v>
      </c>
      <c r="D12" s="130">
        <v>1</v>
      </c>
      <c r="E12" s="131">
        <f>((B12*C12)+(500*D12))</f>
        <v>3500</v>
      </c>
    </row>
    <row r="16" spans="2:3" ht="12.75">
      <c r="B16" s="142" t="s">
        <v>632</v>
      </c>
      <c r="C16" s="144">
        <f>SUM(C19:C21)</f>
        <v>23</v>
      </c>
    </row>
    <row r="17" ht="12.75">
      <c r="C17" s="143"/>
    </row>
    <row r="19" spans="2:3" ht="12.75">
      <c r="B19" s="138" t="s">
        <v>696</v>
      </c>
      <c r="C19" s="141">
        <v>3</v>
      </c>
    </row>
    <row r="20" spans="2:3" ht="12.75">
      <c r="B20" s="138" t="s">
        <v>620</v>
      </c>
      <c r="C20" s="141">
        <v>20</v>
      </c>
    </row>
    <row r="21" spans="2:3" ht="12.75">
      <c r="B21" s="138" t="s">
        <v>697</v>
      </c>
      <c r="C21" s="141"/>
    </row>
  </sheetData>
  <sheetProtection/>
  <mergeCells count="3">
    <mergeCell ref="B4:F4"/>
    <mergeCell ref="B9:F9"/>
    <mergeCell ref="C2:F2"/>
  </mergeCells>
  <dataValidations count="1">
    <dataValidation type="list" allowBlank="1" showInputMessage="1" showErrorMessage="1" sqref="C2">
      <formula1>TalentandSpellList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H2" sqref="H2"/>
    </sheetView>
  </sheetViews>
  <sheetFormatPr defaultColWidth="9.140625" defaultRowHeight="12.75"/>
  <cols>
    <col min="7" max="7" width="2.421875" style="0" customWidth="1"/>
    <col min="8" max="8" width="4.7109375" style="0" bestFit="1" customWidth="1"/>
    <col min="10" max="10" width="28.28125" style="0" bestFit="1" customWidth="1"/>
    <col min="11" max="11" width="12.421875" style="0" bestFit="1" customWidth="1"/>
    <col min="12" max="12" width="71.28125" style="0" bestFit="1" customWidth="1"/>
  </cols>
  <sheetData>
    <row r="1" spans="8:12" ht="12.75">
      <c r="H1" s="132" t="s">
        <v>627</v>
      </c>
      <c r="I1" s="133" t="s">
        <v>616</v>
      </c>
      <c r="J1" s="133" t="s">
        <v>617</v>
      </c>
      <c r="K1" s="133" t="s">
        <v>618</v>
      </c>
      <c r="L1" s="134" t="s">
        <v>619</v>
      </c>
    </row>
    <row r="2" spans="1:12" ht="13.5" thickBot="1">
      <c r="A2" s="100" t="s">
        <v>235</v>
      </c>
      <c r="C2" s="182" t="s">
        <v>229</v>
      </c>
      <c r="D2" s="182"/>
      <c r="E2" s="182"/>
      <c r="F2" s="182"/>
      <c r="H2" s="135" t="str">
        <f>VLOOKUP($C$2,TalentSpellEXPTable,4,FALSE)&amp;"%"</f>
        <v>70%</v>
      </c>
      <c r="I2" s="136" t="str">
        <f>VLOOKUP($C$2,TalentSpellEXPTable,5,FALSE)</f>
        <v>170 feet</v>
      </c>
      <c r="J2" s="136" t="str">
        <f>VLOOKUP($C$2,TalentSpellEXPTable,6,FALSE)</f>
        <v>240 minutes Max (Concentration)</v>
      </c>
      <c r="K2" s="136" t="str">
        <f>VLOOKUP($C$2,TalentSpellEXPTable,7,FALSE)</f>
        <v>D + 31 / pulse</v>
      </c>
      <c r="L2" s="137" t="str">
        <f>IF(VLOOKUP($C$2,TalentSpellEXPTable,8,FALSE)="","",VLOOKUP($C$2,TalentSpellEXPTable,8,FALSE))</f>
        <v>May snare upto 15 entities.  Passive Only (save for half).  10 points B damage to cut.</v>
      </c>
    </row>
    <row r="4" spans="2:5" ht="13.5" thickBot="1">
      <c r="B4" s="186" t="s">
        <v>45</v>
      </c>
      <c r="C4" s="186"/>
      <c r="D4" s="186"/>
      <c r="E4" s="186"/>
    </row>
    <row r="5" spans="2:5" ht="12.75">
      <c r="B5" s="36"/>
      <c r="C5" s="37" t="s">
        <v>38</v>
      </c>
      <c r="D5" s="37" t="s">
        <v>46</v>
      </c>
      <c r="E5" s="38"/>
    </row>
    <row r="6" spans="2:5" ht="13.5" thickBot="1">
      <c r="B6" s="39" t="s">
        <v>39</v>
      </c>
      <c r="C6" s="40" t="s">
        <v>51</v>
      </c>
      <c r="D6" s="40" t="s">
        <v>47</v>
      </c>
      <c r="E6" s="41" t="s">
        <v>20</v>
      </c>
    </row>
    <row r="7" spans="2:5" ht="12.75">
      <c r="B7" s="2">
        <f>VLOOKUP(C2,TalentSpellEXPTable,2,FALSE)</f>
        <v>650</v>
      </c>
      <c r="C7" s="2">
        <v>4</v>
      </c>
      <c r="D7" s="2">
        <v>5</v>
      </c>
      <c r="E7" s="2">
        <f>((B7*C7)-(D7*50))*2+C7/2*43</f>
        <v>4786</v>
      </c>
    </row>
    <row r="9" spans="2:4" ht="13.5" thickBot="1">
      <c r="B9" s="186" t="s">
        <v>50</v>
      </c>
      <c r="C9" s="186"/>
      <c r="D9" s="186"/>
    </row>
    <row r="10" spans="2:5" ht="12.75">
      <c r="B10" s="36" t="s">
        <v>48</v>
      </c>
      <c r="C10" s="37" t="s">
        <v>46</v>
      </c>
      <c r="D10" s="37" t="s">
        <v>52</v>
      </c>
      <c r="E10" s="38"/>
    </row>
    <row r="11" spans="2:5" ht="13.5" thickBot="1">
      <c r="B11" s="39" t="s">
        <v>49</v>
      </c>
      <c r="C11" s="40" t="s">
        <v>47</v>
      </c>
      <c r="D11" s="40" t="s">
        <v>47</v>
      </c>
      <c r="E11" s="41" t="s">
        <v>20</v>
      </c>
    </row>
    <row r="12" spans="2:5" ht="12.75">
      <c r="B12" s="2">
        <v>1500</v>
      </c>
      <c r="C12" s="2">
        <v>8</v>
      </c>
      <c r="D12" s="2">
        <v>8</v>
      </c>
      <c r="E12" s="2">
        <f>((B12)-(50*C12)+21.5*D12)*2</f>
        <v>2544</v>
      </c>
    </row>
  </sheetData>
  <sheetProtection/>
  <mergeCells count="3">
    <mergeCell ref="B9:D9"/>
    <mergeCell ref="B4:E4"/>
    <mergeCell ref="C2:F2"/>
  </mergeCells>
  <dataValidations count="1">
    <dataValidation type="list" allowBlank="1" showInputMessage="1" showErrorMessage="1" sqref="C2">
      <formula1>TalentandSpellList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Y23"/>
  <sheetViews>
    <sheetView zoomScalePageLayoutView="0" workbookViewId="0" topLeftCell="A1">
      <selection activeCell="Z3" sqref="Z3"/>
    </sheetView>
  </sheetViews>
  <sheetFormatPr defaultColWidth="9.140625" defaultRowHeight="12.75"/>
  <cols>
    <col min="2" max="2" width="3.00390625" style="0" customWidth="1"/>
    <col min="3" max="22" width="4.00390625" style="0" customWidth="1"/>
  </cols>
  <sheetData>
    <row r="2" ht="13.5" thickBot="1"/>
    <row r="3" spans="3:22" ht="13.5" thickBot="1">
      <c r="C3" s="42" t="s">
        <v>53</v>
      </c>
      <c r="D3" s="43"/>
      <c r="E3" s="43"/>
      <c r="F3" s="43"/>
      <c r="G3" s="44"/>
      <c r="H3" s="45" t="s">
        <v>54</v>
      </c>
      <c r="I3" s="46"/>
      <c r="J3" s="46"/>
      <c r="K3" s="46"/>
      <c r="L3" s="47"/>
      <c r="M3" s="42" t="s">
        <v>55</v>
      </c>
      <c r="N3" s="43"/>
      <c r="O3" s="43"/>
      <c r="P3" s="43"/>
      <c r="Q3" s="44"/>
      <c r="R3" s="42" t="s">
        <v>56</v>
      </c>
      <c r="S3" s="43"/>
      <c r="T3" s="43"/>
      <c r="U3" s="43"/>
      <c r="V3" s="44"/>
    </row>
    <row r="4" spans="2:22" ht="12.75">
      <c r="B4" s="48">
        <v>1</v>
      </c>
      <c r="C4" s="49">
        <f aca="true" ca="1" t="shared" si="0" ref="C4:G13">RANDBETWEEN(1,6)</f>
        <v>4</v>
      </c>
      <c r="D4" s="50">
        <f ca="1" t="shared" si="0"/>
        <v>3</v>
      </c>
      <c r="E4" s="50">
        <f ca="1" t="shared" si="0"/>
        <v>6</v>
      </c>
      <c r="F4" s="50">
        <f ca="1" t="shared" si="0"/>
        <v>5</v>
      </c>
      <c r="G4" s="51">
        <f ca="1" t="shared" si="0"/>
        <v>5</v>
      </c>
      <c r="H4" s="52">
        <f aca="true" ca="1" t="shared" si="1" ref="H4:L13">RANDBETWEEN(1,10)</f>
        <v>7</v>
      </c>
      <c r="I4" s="53">
        <f ca="1" t="shared" si="1"/>
        <v>1</v>
      </c>
      <c r="J4" s="53">
        <f ca="1" t="shared" si="1"/>
        <v>1</v>
      </c>
      <c r="K4" s="53">
        <f ca="1" t="shared" si="1"/>
        <v>5</v>
      </c>
      <c r="L4" s="54">
        <f ca="1" t="shared" si="1"/>
        <v>4</v>
      </c>
      <c r="M4" s="55">
        <f aca="true" ca="1" t="shared" si="2" ref="M4:Q13">RANDBETWEEN(1,20)</f>
        <v>18</v>
      </c>
      <c r="N4" s="56">
        <f ca="1" t="shared" si="2"/>
        <v>14</v>
      </c>
      <c r="O4" s="56">
        <f ca="1" t="shared" si="2"/>
        <v>3</v>
      </c>
      <c r="P4" s="56">
        <f ca="1" t="shared" si="2"/>
        <v>10</v>
      </c>
      <c r="Q4" s="57">
        <f ca="1" t="shared" si="2"/>
        <v>14</v>
      </c>
      <c r="R4" s="58">
        <f aca="true" ca="1" t="shared" si="3" ref="R4:V13">RANDBETWEEN(1,100)</f>
        <v>100</v>
      </c>
      <c r="S4" s="59">
        <f ca="1" t="shared" si="3"/>
        <v>35</v>
      </c>
      <c r="T4" s="59">
        <f ca="1" t="shared" si="3"/>
        <v>61</v>
      </c>
      <c r="U4" s="59">
        <f ca="1" t="shared" si="3"/>
        <v>70</v>
      </c>
      <c r="V4" s="60">
        <f ca="1" t="shared" si="3"/>
        <v>97</v>
      </c>
    </row>
    <row r="5" spans="2:22" ht="12.75">
      <c r="B5" s="61">
        <v>2</v>
      </c>
      <c r="C5" s="62">
        <f ca="1" t="shared" si="0"/>
        <v>3</v>
      </c>
      <c r="D5" s="63">
        <f ca="1" t="shared" si="0"/>
        <v>5</v>
      </c>
      <c r="E5" s="63">
        <f ca="1" t="shared" si="0"/>
        <v>3</v>
      </c>
      <c r="F5" s="63">
        <f ca="1" t="shared" si="0"/>
        <v>3</v>
      </c>
      <c r="G5" s="64">
        <f ca="1" t="shared" si="0"/>
        <v>2</v>
      </c>
      <c r="H5" s="65">
        <f ca="1" t="shared" si="1"/>
        <v>9</v>
      </c>
      <c r="I5" s="66">
        <f ca="1" t="shared" si="1"/>
        <v>8</v>
      </c>
      <c r="J5" s="66">
        <f ca="1" t="shared" si="1"/>
        <v>1</v>
      </c>
      <c r="K5" s="66">
        <f ca="1" t="shared" si="1"/>
        <v>2</v>
      </c>
      <c r="L5" s="67">
        <f ca="1" t="shared" si="1"/>
        <v>5</v>
      </c>
      <c r="M5" s="68">
        <f ca="1" t="shared" si="2"/>
        <v>6</v>
      </c>
      <c r="N5" s="69">
        <f ca="1" t="shared" si="2"/>
        <v>15</v>
      </c>
      <c r="O5" s="69">
        <f ca="1" t="shared" si="2"/>
        <v>14</v>
      </c>
      <c r="P5" s="69">
        <f ca="1" t="shared" si="2"/>
        <v>11</v>
      </c>
      <c r="Q5" s="70">
        <f ca="1" t="shared" si="2"/>
        <v>4</v>
      </c>
      <c r="R5" s="71">
        <f ca="1" t="shared" si="3"/>
        <v>11</v>
      </c>
      <c r="S5" s="72">
        <f ca="1" t="shared" si="3"/>
        <v>44</v>
      </c>
      <c r="T5" s="72">
        <f ca="1" t="shared" si="3"/>
        <v>45</v>
      </c>
      <c r="U5" s="72">
        <f ca="1" t="shared" si="3"/>
        <v>86</v>
      </c>
      <c r="V5" s="73">
        <f ca="1" t="shared" si="3"/>
        <v>73</v>
      </c>
    </row>
    <row r="6" spans="2:22" ht="12.75">
      <c r="B6" s="61">
        <v>3</v>
      </c>
      <c r="C6" s="74">
        <f ca="1" t="shared" si="0"/>
        <v>4</v>
      </c>
      <c r="D6" s="75">
        <f ca="1" t="shared" si="0"/>
        <v>5</v>
      </c>
      <c r="E6" s="75">
        <f ca="1" t="shared" si="0"/>
        <v>5</v>
      </c>
      <c r="F6" s="75">
        <f ca="1" t="shared" si="0"/>
        <v>3</v>
      </c>
      <c r="G6" s="76">
        <f ca="1" t="shared" si="0"/>
        <v>5</v>
      </c>
      <c r="H6" s="77">
        <f ca="1" t="shared" si="1"/>
        <v>8</v>
      </c>
      <c r="I6" s="78">
        <f ca="1" t="shared" si="1"/>
        <v>6</v>
      </c>
      <c r="J6" s="78">
        <f ca="1" t="shared" si="1"/>
        <v>2</v>
      </c>
      <c r="K6" s="78">
        <f ca="1" t="shared" si="1"/>
        <v>3</v>
      </c>
      <c r="L6" s="79">
        <f ca="1" t="shared" si="1"/>
        <v>3</v>
      </c>
      <c r="M6" s="80">
        <f ca="1" t="shared" si="2"/>
        <v>9</v>
      </c>
      <c r="N6" s="81">
        <f ca="1" t="shared" si="2"/>
        <v>10</v>
      </c>
      <c r="O6" s="81">
        <f ca="1" t="shared" si="2"/>
        <v>10</v>
      </c>
      <c r="P6" s="81">
        <f ca="1" t="shared" si="2"/>
        <v>11</v>
      </c>
      <c r="Q6" s="82">
        <f ca="1" t="shared" si="2"/>
        <v>12</v>
      </c>
      <c r="R6" s="83">
        <f ca="1" t="shared" si="3"/>
        <v>89</v>
      </c>
      <c r="S6" s="84">
        <f ca="1" t="shared" si="3"/>
        <v>55</v>
      </c>
      <c r="T6" s="84">
        <f ca="1" t="shared" si="3"/>
        <v>82</v>
      </c>
      <c r="U6" s="84">
        <f ca="1" t="shared" si="3"/>
        <v>93</v>
      </c>
      <c r="V6" s="85">
        <f ca="1" t="shared" si="3"/>
        <v>77</v>
      </c>
    </row>
    <row r="7" spans="2:22" ht="12.75">
      <c r="B7" s="61">
        <v>4</v>
      </c>
      <c r="C7" s="62">
        <f ca="1" t="shared" si="0"/>
        <v>3</v>
      </c>
      <c r="D7" s="63">
        <f ca="1" t="shared" si="0"/>
        <v>1</v>
      </c>
      <c r="E7" s="63">
        <f ca="1" t="shared" si="0"/>
        <v>3</v>
      </c>
      <c r="F7" s="63">
        <f ca="1" t="shared" si="0"/>
        <v>4</v>
      </c>
      <c r="G7" s="64">
        <f ca="1" t="shared" si="0"/>
        <v>6</v>
      </c>
      <c r="H7" s="65">
        <f ca="1" t="shared" si="1"/>
        <v>4</v>
      </c>
      <c r="I7" s="66">
        <f ca="1" t="shared" si="1"/>
        <v>9</v>
      </c>
      <c r="J7" s="66">
        <f ca="1" t="shared" si="1"/>
        <v>10</v>
      </c>
      <c r="K7" s="66">
        <f ca="1" t="shared" si="1"/>
        <v>5</v>
      </c>
      <c r="L7" s="67">
        <f ca="1" t="shared" si="1"/>
        <v>5</v>
      </c>
      <c r="M7" s="68">
        <f ca="1" t="shared" si="2"/>
        <v>4</v>
      </c>
      <c r="N7" s="69">
        <f ca="1" t="shared" si="2"/>
        <v>18</v>
      </c>
      <c r="O7" s="69">
        <f ca="1" t="shared" si="2"/>
        <v>7</v>
      </c>
      <c r="P7" s="69">
        <f ca="1" t="shared" si="2"/>
        <v>14</v>
      </c>
      <c r="Q7" s="70">
        <f ca="1" t="shared" si="2"/>
        <v>14</v>
      </c>
      <c r="R7" s="71">
        <f ca="1" t="shared" si="3"/>
        <v>47</v>
      </c>
      <c r="S7" s="72">
        <f ca="1" t="shared" si="3"/>
        <v>51</v>
      </c>
      <c r="T7" s="72">
        <f ca="1" t="shared" si="3"/>
        <v>26</v>
      </c>
      <c r="U7" s="72">
        <f ca="1" t="shared" si="3"/>
        <v>49</v>
      </c>
      <c r="V7" s="73">
        <f ca="1" t="shared" si="3"/>
        <v>100</v>
      </c>
    </row>
    <row r="8" spans="2:22" ht="12.75">
      <c r="B8" s="61">
        <v>5</v>
      </c>
      <c r="C8" s="74">
        <f ca="1" t="shared" si="0"/>
        <v>3</v>
      </c>
      <c r="D8" s="75">
        <f ca="1" t="shared" si="0"/>
        <v>3</v>
      </c>
      <c r="E8" s="75">
        <f ca="1" t="shared" si="0"/>
        <v>2</v>
      </c>
      <c r="F8" s="75">
        <f ca="1" t="shared" si="0"/>
        <v>1</v>
      </c>
      <c r="G8" s="76">
        <f ca="1" t="shared" si="0"/>
        <v>4</v>
      </c>
      <c r="H8" s="77">
        <f ca="1" t="shared" si="1"/>
        <v>10</v>
      </c>
      <c r="I8" s="78">
        <f ca="1" t="shared" si="1"/>
        <v>3</v>
      </c>
      <c r="J8" s="78">
        <f ca="1" t="shared" si="1"/>
        <v>6</v>
      </c>
      <c r="K8" s="78">
        <f ca="1" t="shared" si="1"/>
        <v>10</v>
      </c>
      <c r="L8" s="79">
        <f ca="1" t="shared" si="1"/>
        <v>9</v>
      </c>
      <c r="M8" s="80">
        <f ca="1" t="shared" si="2"/>
        <v>15</v>
      </c>
      <c r="N8" s="81">
        <f ca="1" t="shared" si="2"/>
        <v>6</v>
      </c>
      <c r="O8" s="81">
        <f ca="1" t="shared" si="2"/>
        <v>13</v>
      </c>
      <c r="P8" s="81">
        <f ca="1" t="shared" si="2"/>
        <v>7</v>
      </c>
      <c r="Q8" s="82">
        <f ca="1" t="shared" si="2"/>
        <v>2</v>
      </c>
      <c r="R8" s="83">
        <f ca="1" t="shared" si="3"/>
        <v>39</v>
      </c>
      <c r="S8" s="84">
        <f ca="1" t="shared" si="3"/>
        <v>42</v>
      </c>
      <c r="T8" s="84">
        <f ca="1" t="shared" si="3"/>
        <v>87</v>
      </c>
      <c r="U8" s="84">
        <f ca="1" t="shared" si="3"/>
        <v>41</v>
      </c>
      <c r="V8" s="85">
        <f ca="1" t="shared" si="3"/>
        <v>20</v>
      </c>
    </row>
    <row r="9" spans="2:22" ht="12.75">
      <c r="B9" s="61">
        <v>6</v>
      </c>
      <c r="C9" s="62">
        <f ca="1" t="shared" si="0"/>
        <v>4</v>
      </c>
      <c r="D9" s="63">
        <f ca="1" t="shared" si="0"/>
        <v>3</v>
      </c>
      <c r="E9" s="63">
        <f ca="1" t="shared" si="0"/>
        <v>5</v>
      </c>
      <c r="F9" s="63">
        <f ca="1" t="shared" si="0"/>
        <v>5</v>
      </c>
      <c r="G9" s="64">
        <f ca="1" t="shared" si="0"/>
        <v>5</v>
      </c>
      <c r="H9" s="65">
        <f ca="1" t="shared" si="1"/>
        <v>3</v>
      </c>
      <c r="I9" s="66">
        <f ca="1" t="shared" si="1"/>
        <v>4</v>
      </c>
      <c r="J9" s="66">
        <f ca="1" t="shared" si="1"/>
        <v>5</v>
      </c>
      <c r="K9" s="66">
        <f ca="1" t="shared" si="1"/>
        <v>7</v>
      </c>
      <c r="L9" s="67">
        <f ca="1" t="shared" si="1"/>
        <v>6</v>
      </c>
      <c r="M9" s="68">
        <f ca="1" t="shared" si="2"/>
        <v>3</v>
      </c>
      <c r="N9" s="69">
        <f ca="1" t="shared" si="2"/>
        <v>15</v>
      </c>
      <c r="O9" s="69">
        <f ca="1" t="shared" si="2"/>
        <v>3</v>
      </c>
      <c r="P9" s="69">
        <f ca="1" t="shared" si="2"/>
        <v>4</v>
      </c>
      <c r="Q9" s="70">
        <f ca="1" t="shared" si="2"/>
        <v>18</v>
      </c>
      <c r="R9" s="71">
        <f ca="1" t="shared" si="3"/>
        <v>81</v>
      </c>
      <c r="S9" s="72">
        <f ca="1" t="shared" si="3"/>
        <v>48</v>
      </c>
      <c r="T9" s="72">
        <f ca="1" t="shared" si="3"/>
        <v>84</v>
      </c>
      <c r="U9" s="72">
        <f ca="1" t="shared" si="3"/>
        <v>13</v>
      </c>
      <c r="V9" s="73">
        <f ca="1" t="shared" si="3"/>
        <v>47</v>
      </c>
    </row>
    <row r="10" spans="2:22" ht="12.75">
      <c r="B10" s="61">
        <v>7</v>
      </c>
      <c r="C10" s="74">
        <f ca="1" t="shared" si="0"/>
        <v>6</v>
      </c>
      <c r="D10" s="75">
        <f ca="1" t="shared" si="0"/>
        <v>3</v>
      </c>
      <c r="E10" s="75">
        <f ca="1" t="shared" si="0"/>
        <v>4</v>
      </c>
      <c r="F10" s="75">
        <f ca="1" t="shared" si="0"/>
        <v>4</v>
      </c>
      <c r="G10" s="76">
        <f ca="1" t="shared" si="0"/>
        <v>4</v>
      </c>
      <c r="H10" s="77">
        <f ca="1" t="shared" si="1"/>
        <v>8</v>
      </c>
      <c r="I10" s="78">
        <f ca="1" t="shared" si="1"/>
        <v>3</v>
      </c>
      <c r="J10" s="78">
        <f ca="1" t="shared" si="1"/>
        <v>8</v>
      </c>
      <c r="K10" s="78">
        <f ca="1" t="shared" si="1"/>
        <v>2</v>
      </c>
      <c r="L10" s="79">
        <f ca="1" t="shared" si="1"/>
        <v>9</v>
      </c>
      <c r="M10" s="80">
        <f ca="1" t="shared" si="2"/>
        <v>13</v>
      </c>
      <c r="N10" s="81">
        <f ca="1" t="shared" si="2"/>
        <v>17</v>
      </c>
      <c r="O10" s="81">
        <f ca="1" t="shared" si="2"/>
        <v>8</v>
      </c>
      <c r="P10" s="81">
        <f ca="1" t="shared" si="2"/>
        <v>12</v>
      </c>
      <c r="Q10" s="82">
        <f ca="1" t="shared" si="2"/>
        <v>17</v>
      </c>
      <c r="R10" s="83">
        <f ca="1" t="shared" si="3"/>
        <v>55</v>
      </c>
      <c r="S10" s="84">
        <f ca="1" t="shared" si="3"/>
        <v>41</v>
      </c>
      <c r="T10" s="84">
        <f ca="1" t="shared" si="3"/>
        <v>61</v>
      </c>
      <c r="U10" s="84">
        <f ca="1" t="shared" si="3"/>
        <v>51</v>
      </c>
      <c r="V10" s="85">
        <f ca="1" t="shared" si="3"/>
        <v>12</v>
      </c>
    </row>
    <row r="11" spans="2:25" ht="12.75">
      <c r="B11" s="61">
        <v>8</v>
      </c>
      <c r="C11" s="62">
        <f ca="1" t="shared" si="0"/>
        <v>5</v>
      </c>
      <c r="D11" s="63">
        <f ca="1" t="shared" si="0"/>
        <v>5</v>
      </c>
      <c r="E11" s="63">
        <f ca="1" t="shared" si="0"/>
        <v>1</v>
      </c>
      <c r="F11" s="63">
        <f ca="1" t="shared" si="0"/>
        <v>1</v>
      </c>
      <c r="G11" s="64">
        <f ca="1" t="shared" si="0"/>
        <v>1</v>
      </c>
      <c r="H11" s="65">
        <f ca="1" t="shared" si="1"/>
        <v>5</v>
      </c>
      <c r="I11" s="66">
        <f ca="1" t="shared" si="1"/>
        <v>5</v>
      </c>
      <c r="J11" s="66">
        <f ca="1" t="shared" si="1"/>
        <v>7</v>
      </c>
      <c r="K11" s="66">
        <f ca="1" t="shared" si="1"/>
        <v>7</v>
      </c>
      <c r="L11" s="67">
        <f ca="1" t="shared" si="1"/>
        <v>1</v>
      </c>
      <c r="M11" s="68">
        <f ca="1" t="shared" si="2"/>
        <v>18</v>
      </c>
      <c r="N11" s="69">
        <f ca="1" t="shared" si="2"/>
        <v>5</v>
      </c>
      <c r="O11" s="69">
        <f ca="1" t="shared" si="2"/>
        <v>20</v>
      </c>
      <c r="P11" s="69">
        <f ca="1" t="shared" si="2"/>
        <v>11</v>
      </c>
      <c r="Q11" s="70">
        <f ca="1" t="shared" si="2"/>
        <v>20</v>
      </c>
      <c r="R11" s="71">
        <f ca="1" t="shared" si="3"/>
        <v>22</v>
      </c>
      <c r="S11" s="72">
        <f ca="1" t="shared" si="3"/>
        <v>95</v>
      </c>
      <c r="T11" s="72">
        <f ca="1" t="shared" si="3"/>
        <v>23</v>
      </c>
      <c r="U11" s="72">
        <f ca="1" t="shared" si="3"/>
        <v>63</v>
      </c>
      <c r="V11" s="73">
        <f ca="1" t="shared" si="3"/>
        <v>13</v>
      </c>
      <c r="Y11" t="s">
        <v>57</v>
      </c>
    </row>
    <row r="12" spans="2:25" ht="12.75">
      <c r="B12" s="61">
        <v>9</v>
      </c>
      <c r="C12" s="74">
        <f ca="1" t="shared" si="0"/>
        <v>3</v>
      </c>
      <c r="D12" s="75">
        <f ca="1" t="shared" si="0"/>
        <v>3</v>
      </c>
      <c r="E12" s="75">
        <f ca="1" t="shared" si="0"/>
        <v>4</v>
      </c>
      <c r="F12" s="75">
        <f ca="1" t="shared" si="0"/>
        <v>2</v>
      </c>
      <c r="G12" s="76">
        <f ca="1" t="shared" si="0"/>
        <v>2</v>
      </c>
      <c r="H12" s="77">
        <f ca="1" t="shared" si="1"/>
        <v>6</v>
      </c>
      <c r="I12" s="78">
        <f ca="1" t="shared" si="1"/>
        <v>3</v>
      </c>
      <c r="J12" s="78">
        <f ca="1" t="shared" si="1"/>
        <v>4</v>
      </c>
      <c r="K12" s="78">
        <f ca="1" t="shared" si="1"/>
        <v>2</v>
      </c>
      <c r="L12" s="79">
        <f ca="1" t="shared" si="1"/>
        <v>7</v>
      </c>
      <c r="M12" s="80">
        <f ca="1" t="shared" si="2"/>
        <v>12</v>
      </c>
      <c r="N12" s="81">
        <f ca="1" t="shared" si="2"/>
        <v>12</v>
      </c>
      <c r="O12" s="81">
        <f ca="1" t="shared" si="2"/>
        <v>16</v>
      </c>
      <c r="P12" s="81">
        <f ca="1" t="shared" si="2"/>
        <v>13</v>
      </c>
      <c r="Q12" s="82">
        <f ca="1" t="shared" si="2"/>
        <v>9</v>
      </c>
      <c r="R12" s="83">
        <f ca="1" t="shared" si="3"/>
        <v>96</v>
      </c>
      <c r="S12" s="84">
        <f ca="1" t="shared" si="3"/>
        <v>89</v>
      </c>
      <c r="T12" s="84">
        <f ca="1" t="shared" si="3"/>
        <v>8</v>
      </c>
      <c r="U12" s="84">
        <f ca="1" t="shared" si="3"/>
        <v>3</v>
      </c>
      <c r="V12" s="85">
        <f ca="1" t="shared" si="3"/>
        <v>94</v>
      </c>
      <c r="Y12" t="s">
        <v>58</v>
      </c>
    </row>
    <row r="13" spans="2:22" ht="12.75">
      <c r="B13" s="61">
        <v>10</v>
      </c>
      <c r="C13" s="62">
        <f ca="1" t="shared" si="0"/>
        <v>3</v>
      </c>
      <c r="D13" s="63">
        <f ca="1" t="shared" si="0"/>
        <v>1</v>
      </c>
      <c r="E13" s="63">
        <f ca="1" t="shared" si="0"/>
        <v>5</v>
      </c>
      <c r="F13" s="63">
        <f ca="1" t="shared" si="0"/>
        <v>1</v>
      </c>
      <c r="G13" s="64">
        <f ca="1" t="shared" si="0"/>
        <v>2</v>
      </c>
      <c r="H13" s="65">
        <f ca="1" t="shared" si="1"/>
        <v>2</v>
      </c>
      <c r="I13" s="66">
        <f ca="1" t="shared" si="1"/>
        <v>9</v>
      </c>
      <c r="J13" s="66">
        <f ca="1" t="shared" si="1"/>
        <v>10</v>
      </c>
      <c r="K13" s="66">
        <f ca="1" t="shared" si="1"/>
        <v>2</v>
      </c>
      <c r="L13" s="67">
        <f ca="1" t="shared" si="1"/>
        <v>8</v>
      </c>
      <c r="M13" s="68">
        <f ca="1" t="shared" si="2"/>
        <v>12</v>
      </c>
      <c r="N13" s="69">
        <f ca="1" t="shared" si="2"/>
        <v>19</v>
      </c>
      <c r="O13" s="69">
        <f ca="1" t="shared" si="2"/>
        <v>8</v>
      </c>
      <c r="P13" s="69">
        <f ca="1" t="shared" si="2"/>
        <v>8</v>
      </c>
      <c r="Q13" s="70">
        <f ca="1" t="shared" si="2"/>
        <v>11</v>
      </c>
      <c r="R13" s="71">
        <f ca="1" t="shared" si="3"/>
        <v>63</v>
      </c>
      <c r="S13" s="72">
        <f ca="1" t="shared" si="3"/>
        <v>68</v>
      </c>
      <c r="T13" s="72">
        <f ca="1" t="shared" si="3"/>
        <v>82</v>
      </c>
      <c r="U13" s="72">
        <f ca="1" t="shared" si="3"/>
        <v>3</v>
      </c>
      <c r="V13" s="73">
        <f ca="1" t="shared" si="3"/>
        <v>99</v>
      </c>
    </row>
    <row r="14" spans="2:22" ht="12.75">
      <c r="B14" s="61">
        <v>11</v>
      </c>
      <c r="C14" s="74">
        <f aca="true" ca="1" t="shared" si="4" ref="C14:G23">RANDBETWEEN(1,6)</f>
        <v>5</v>
      </c>
      <c r="D14" s="75">
        <f ca="1" t="shared" si="4"/>
        <v>3</v>
      </c>
      <c r="E14" s="75">
        <f ca="1" t="shared" si="4"/>
        <v>3</v>
      </c>
      <c r="F14" s="75">
        <f ca="1" t="shared" si="4"/>
        <v>4</v>
      </c>
      <c r="G14" s="76">
        <f ca="1" t="shared" si="4"/>
        <v>3</v>
      </c>
      <c r="H14" s="77">
        <f aca="true" ca="1" t="shared" si="5" ref="H14:L23">RANDBETWEEN(1,10)</f>
        <v>3</v>
      </c>
      <c r="I14" s="78">
        <f ca="1" t="shared" si="5"/>
        <v>10</v>
      </c>
      <c r="J14" s="78">
        <f ca="1" t="shared" si="5"/>
        <v>4</v>
      </c>
      <c r="K14" s="78">
        <f ca="1" t="shared" si="5"/>
        <v>5</v>
      </c>
      <c r="L14" s="79">
        <f ca="1" t="shared" si="5"/>
        <v>8</v>
      </c>
      <c r="M14" s="80">
        <f aca="true" ca="1" t="shared" si="6" ref="M14:Q23">RANDBETWEEN(1,20)</f>
        <v>17</v>
      </c>
      <c r="N14" s="81">
        <f ca="1" t="shared" si="6"/>
        <v>4</v>
      </c>
      <c r="O14" s="81">
        <f ca="1" t="shared" si="6"/>
        <v>12</v>
      </c>
      <c r="P14" s="81">
        <f ca="1" t="shared" si="6"/>
        <v>12</v>
      </c>
      <c r="Q14" s="82">
        <f ca="1" t="shared" si="6"/>
        <v>6</v>
      </c>
      <c r="R14" s="83">
        <f aca="true" ca="1" t="shared" si="7" ref="R14:V23">RANDBETWEEN(1,100)</f>
        <v>11</v>
      </c>
      <c r="S14" s="84">
        <f ca="1" t="shared" si="7"/>
        <v>39</v>
      </c>
      <c r="T14" s="84">
        <f ca="1" t="shared" si="7"/>
        <v>6</v>
      </c>
      <c r="U14" s="84">
        <f ca="1" t="shared" si="7"/>
        <v>27</v>
      </c>
      <c r="V14" s="85">
        <f ca="1" t="shared" si="7"/>
        <v>63</v>
      </c>
    </row>
    <row r="15" spans="2:22" ht="12.75">
      <c r="B15" s="61">
        <v>12</v>
      </c>
      <c r="C15" s="62">
        <f ca="1" t="shared" si="4"/>
        <v>3</v>
      </c>
      <c r="D15" s="63">
        <f ca="1" t="shared" si="4"/>
        <v>3</v>
      </c>
      <c r="E15" s="63">
        <f ca="1" t="shared" si="4"/>
        <v>3</v>
      </c>
      <c r="F15" s="63">
        <f ca="1" t="shared" si="4"/>
        <v>3</v>
      </c>
      <c r="G15" s="64">
        <f ca="1" t="shared" si="4"/>
        <v>6</v>
      </c>
      <c r="H15" s="65">
        <f ca="1" t="shared" si="5"/>
        <v>5</v>
      </c>
      <c r="I15" s="66">
        <f ca="1" t="shared" si="5"/>
        <v>10</v>
      </c>
      <c r="J15" s="66">
        <f ca="1" t="shared" si="5"/>
        <v>5</v>
      </c>
      <c r="K15" s="66">
        <f ca="1" t="shared" si="5"/>
        <v>10</v>
      </c>
      <c r="L15" s="67">
        <f ca="1" t="shared" si="5"/>
        <v>8</v>
      </c>
      <c r="M15" s="68">
        <f ca="1" t="shared" si="6"/>
        <v>3</v>
      </c>
      <c r="N15" s="69">
        <f ca="1" t="shared" si="6"/>
        <v>11</v>
      </c>
      <c r="O15" s="69">
        <f ca="1" t="shared" si="6"/>
        <v>9</v>
      </c>
      <c r="P15" s="69">
        <f ca="1" t="shared" si="6"/>
        <v>11</v>
      </c>
      <c r="Q15" s="70">
        <f ca="1" t="shared" si="6"/>
        <v>20</v>
      </c>
      <c r="R15" s="71">
        <f ca="1" t="shared" si="7"/>
        <v>34</v>
      </c>
      <c r="S15" s="72">
        <f ca="1" t="shared" si="7"/>
        <v>1</v>
      </c>
      <c r="T15" s="72">
        <f ca="1" t="shared" si="7"/>
        <v>84</v>
      </c>
      <c r="U15" s="72">
        <f ca="1" t="shared" si="7"/>
        <v>17</v>
      </c>
      <c r="V15" s="73">
        <f ca="1" t="shared" si="7"/>
        <v>9</v>
      </c>
    </row>
    <row r="16" spans="2:22" ht="12.75">
      <c r="B16" s="61">
        <v>13</v>
      </c>
      <c r="C16" s="74">
        <f ca="1" t="shared" si="4"/>
        <v>4</v>
      </c>
      <c r="D16" s="75">
        <f ca="1" t="shared" si="4"/>
        <v>4</v>
      </c>
      <c r="E16" s="75">
        <f ca="1" t="shared" si="4"/>
        <v>6</v>
      </c>
      <c r="F16" s="75">
        <f ca="1" t="shared" si="4"/>
        <v>1</v>
      </c>
      <c r="G16" s="76">
        <f ca="1" t="shared" si="4"/>
        <v>3</v>
      </c>
      <c r="H16" s="77">
        <f ca="1" t="shared" si="5"/>
        <v>6</v>
      </c>
      <c r="I16" s="78">
        <f ca="1" t="shared" si="5"/>
        <v>9</v>
      </c>
      <c r="J16" s="78">
        <f ca="1" t="shared" si="5"/>
        <v>8</v>
      </c>
      <c r="K16" s="78">
        <f ca="1" t="shared" si="5"/>
        <v>10</v>
      </c>
      <c r="L16" s="79">
        <f ca="1" t="shared" si="5"/>
        <v>5</v>
      </c>
      <c r="M16" s="80">
        <f ca="1" t="shared" si="6"/>
        <v>17</v>
      </c>
      <c r="N16" s="81">
        <f ca="1" t="shared" si="6"/>
        <v>19</v>
      </c>
      <c r="O16" s="81">
        <f ca="1" t="shared" si="6"/>
        <v>10</v>
      </c>
      <c r="P16" s="81">
        <f ca="1" t="shared" si="6"/>
        <v>14</v>
      </c>
      <c r="Q16" s="82">
        <f ca="1" t="shared" si="6"/>
        <v>17</v>
      </c>
      <c r="R16" s="83">
        <f ca="1" t="shared" si="7"/>
        <v>74</v>
      </c>
      <c r="S16" s="84">
        <f ca="1" t="shared" si="7"/>
        <v>66</v>
      </c>
      <c r="T16" s="84">
        <f ca="1" t="shared" si="7"/>
        <v>73</v>
      </c>
      <c r="U16" s="84">
        <f ca="1" t="shared" si="7"/>
        <v>23</v>
      </c>
      <c r="V16" s="85">
        <f ca="1" t="shared" si="7"/>
        <v>87</v>
      </c>
    </row>
    <row r="17" spans="2:22" ht="12.75">
      <c r="B17" s="61">
        <v>14</v>
      </c>
      <c r="C17" s="62">
        <f ca="1" t="shared" si="4"/>
        <v>4</v>
      </c>
      <c r="D17" s="63">
        <f ca="1" t="shared" si="4"/>
        <v>2</v>
      </c>
      <c r="E17" s="63">
        <f ca="1" t="shared" si="4"/>
        <v>4</v>
      </c>
      <c r="F17" s="63">
        <f ca="1" t="shared" si="4"/>
        <v>3</v>
      </c>
      <c r="G17" s="64">
        <f ca="1" t="shared" si="4"/>
        <v>2</v>
      </c>
      <c r="H17" s="65">
        <f ca="1" t="shared" si="5"/>
        <v>9</v>
      </c>
      <c r="I17" s="66">
        <f ca="1" t="shared" si="5"/>
        <v>8</v>
      </c>
      <c r="J17" s="66">
        <f ca="1" t="shared" si="5"/>
        <v>7</v>
      </c>
      <c r="K17" s="66">
        <f ca="1" t="shared" si="5"/>
        <v>4</v>
      </c>
      <c r="L17" s="67">
        <f ca="1" t="shared" si="5"/>
        <v>8</v>
      </c>
      <c r="M17" s="68">
        <f ca="1" t="shared" si="6"/>
        <v>20</v>
      </c>
      <c r="N17" s="69">
        <f ca="1" t="shared" si="6"/>
        <v>9</v>
      </c>
      <c r="O17" s="69">
        <f ca="1" t="shared" si="6"/>
        <v>11</v>
      </c>
      <c r="P17" s="69">
        <f ca="1" t="shared" si="6"/>
        <v>14</v>
      </c>
      <c r="Q17" s="70">
        <f ca="1" t="shared" si="6"/>
        <v>10</v>
      </c>
      <c r="R17" s="71">
        <f ca="1" t="shared" si="7"/>
        <v>38</v>
      </c>
      <c r="S17" s="72">
        <f ca="1" t="shared" si="7"/>
        <v>67</v>
      </c>
      <c r="T17" s="72">
        <f ca="1" t="shared" si="7"/>
        <v>61</v>
      </c>
      <c r="U17" s="72">
        <f ca="1" t="shared" si="7"/>
        <v>10</v>
      </c>
      <c r="V17" s="73">
        <f ca="1" t="shared" si="7"/>
        <v>95</v>
      </c>
    </row>
    <row r="18" spans="2:22" ht="12.75">
      <c r="B18" s="61">
        <v>15</v>
      </c>
      <c r="C18" s="74">
        <f ca="1" t="shared" si="4"/>
        <v>1</v>
      </c>
      <c r="D18" s="75">
        <f ca="1" t="shared" si="4"/>
        <v>3</v>
      </c>
      <c r="E18" s="75">
        <f ca="1" t="shared" si="4"/>
        <v>2</v>
      </c>
      <c r="F18" s="75">
        <f ca="1" t="shared" si="4"/>
        <v>6</v>
      </c>
      <c r="G18" s="76">
        <f ca="1" t="shared" si="4"/>
        <v>4</v>
      </c>
      <c r="H18" s="77">
        <f ca="1" t="shared" si="5"/>
        <v>7</v>
      </c>
      <c r="I18" s="78">
        <f ca="1" t="shared" si="5"/>
        <v>4</v>
      </c>
      <c r="J18" s="78">
        <f ca="1" t="shared" si="5"/>
        <v>9</v>
      </c>
      <c r="K18" s="78">
        <f ca="1" t="shared" si="5"/>
        <v>5</v>
      </c>
      <c r="L18" s="79">
        <f ca="1" t="shared" si="5"/>
        <v>9</v>
      </c>
      <c r="M18" s="80">
        <f ca="1" t="shared" si="6"/>
        <v>14</v>
      </c>
      <c r="N18" s="81">
        <f ca="1" t="shared" si="6"/>
        <v>1</v>
      </c>
      <c r="O18" s="81">
        <f ca="1" t="shared" si="6"/>
        <v>20</v>
      </c>
      <c r="P18" s="81">
        <f ca="1" t="shared" si="6"/>
        <v>1</v>
      </c>
      <c r="Q18" s="82">
        <f ca="1" t="shared" si="6"/>
        <v>3</v>
      </c>
      <c r="R18" s="83">
        <f ca="1" t="shared" si="7"/>
        <v>43</v>
      </c>
      <c r="S18" s="84">
        <f ca="1" t="shared" si="7"/>
        <v>65</v>
      </c>
      <c r="T18" s="84">
        <f ca="1" t="shared" si="7"/>
        <v>61</v>
      </c>
      <c r="U18" s="84">
        <f ca="1" t="shared" si="7"/>
        <v>98</v>
      </c>
      <c r="V18" s="85">
        <f ca="1" t="shared" si="7"/>
        <v>22</v>
      </c>
    </row>
    <row r="19" spans="2:22" ht="12.75">
      <c r="B19" s="61">
        <v>16</v>
      </c>
      <c r="C19" s="62">
        <f ca="1" t="shared" si="4"/>
        <v>4</v>
      </c>
      <c r="D19" s="63">
        <f ca="1" t="shared" si="4"/>
        <v>5</v>
      </c>
      <c r="E19" s="63">
        <f ca="1" t="shared" si="4"/>
        <v>1</v>
      </c>
      <c r="F19" s="63">
        <f ca="1" t="shared" si="4"/>
        <v>4</v>
      </c>
      <c r="G19" s="64">
        <f ca="1" t="shared" si="4"/>
        <v>4</v>
      </c>
      <c r="H19" s="65">
        <f ca="1" t="shared" si="5"/>
        <v>3</v>
      </c>
      <c r="I19" s="66">
        <f ca="1" t="shared" si="5"/>
        <v>4</v>
      </c>
      <c r="J19" s="66">
        <f ca="1" t="shared" si="5"/>
        <v>4</v>
      </c>
      <c r="K19" s="66">
        <f ca="1" t="shared" si="5"/>
        <v>4</v>
      </c>
      <c r="L19" s="67">
        <f ca="1" t="shared" si="5"/>
        <v>6</v>
      </c>
      <c r="M19" s="68">
        <f ca="1" t="shared" si="6"/>
        <v>20</v>
      </c>
      <c r="N19" s="69">
        <f ca="1" t="shared" si="6"/>
        <v>20</v>
      </c>
      <c r="O19" s="69">
        <f ca="1" t="shared" si="6"/>
        <v>17</v>
      </c>
      <c r="P19" s="69">
        <f ca="1" t="shared" si="6"/>
        <v>2</v>
      </c>
      <c r="Q19" s="70">
        <f ca="1" t="shared" si="6"/>
        <v>7</v>
      </c>
      <c r="R19" s="71">
        <f ca="1" t="shared" si="7"/>
        <v>26</v>
      </c>
      <c r="S19" s="72">
        <f ca="1" t="shared" si="7"/>
        <v>2</v>
      </c>
      <c r="T19" s="72">
        <f ca="1" t="shared" si="7"/>
        <v>85</v>
      </c>
      <c r="U19" s="72">
        <f ca="1" t="shared" si="7"/>
        <v>89</v>
      </c>
      <c r="V19" s="73">
        <f ca="1" t="shared" si="7"/>
        <v>24</v>
      </c>
    </row>
    <row r="20" spans="2:22" ht="12.75">
      <c r="B20" s="61">
        <v>17</v>
      </c>
      <c r="C20" s="74">
        <f ca="1" t="shared" si="4"/>
        <v>5</v>
      </c>
      <c r="D20" s="75">
        <f ca="1" t="shared" si="4"/>
        <v>2</v>
      </c>
      <c r="E20" s="75">
        <f ca="1" t="shared" si="4"/>
        <v>6</v>
      </c>
      <c r="F20" s="75">
        <f ca="1" t="shared" si="4"/>
        <v>4</v>
      </c>
      <c r="G20" s="76">
        <f ca="1" t="shared" si="4"/>
        <v>3</v>
      </c>
      <c r="H20" s="77">
        <f ca="1" t="shared" si="5"/>
        <v>8</v>
      </c>
      <c r="I20" s="78">
        <f ca="1" t="shared" si="5"/>
        <v>9</v>
      </c>
      <c r="J20" s="78">
        <f ca="1" t="shared" si="5"/>
        <v>7</v>
      </c>
      <c r="K20" s="78">
        <f ca="1" t="shared" si="5"/>
        <v>9</v>
      </c>
      <c r="L20" s="79">
        <f ca="1" t="shared" si="5"/>
        <v>1</v>
      </c>
      <c r="M20" s="80">
        <f ca="1" t="shared" si="6"/>
        <v>6</v>
      </c>
      <c r="N20" s="81">
        <f ca="1" t="shared" si="6"/>
        <v>5</v>
      </c>
      <c r="O20" s="81">
        <f ca="1" t="shared" si="6"/>
        <v>3</v>
      </c>
      <c r="P20" s="81">
        <f ca="1" t="shared" si="6"/>
        <v>2</v>
      </c>
      <c r="Q20" s="82">
        <f ca="1" t="shared" si="6"/>
        <v>14</v>
      </c>
      <c r="R20" s="83">
        <f ca="1" t="shared" si="7"/>
        <v>93</v>
      </c>
      <c r="S20" s="84">
        <f ca="1" t="shared" si="7"/>
        <v>78</v>
      </c>
      <c r="T20" s="84">
        <f ca="1" t="shared" si="7"/>
        <v>3</v>
      </c>
      <c r="U20" s="84">
        <f ca="1" t="shared" si="7"/>
        <v>52</v>
      </c>
      <c r="V20" s="85">
        <f ca="1" t="shared" si="7"/>
        <v>63</v>
      </c>
    </row>
    <row r="21" spans="2:22" ht="12.75">
      <c r="B21" s="61">
        <v>18</v>
      </c>
      <c r="C21" s="62">
        <f ca="1" t="shared" si="4"/>
        <v>3</v>
      </c>
      <c r="D21" s="63">
        <f ca="1" t="shared" si="4"/>
        <v>4</v>
      </c>
      <c r="E21" s="63">
        <f ca="1" t="shared" si="4"/>
        <v>6</v>
      </c>
      <c r="F21" s="63">
        <f ca="1" t="shared" si="4"/>
        <v>6</v>
      </c>
      <c r="G21" s="64">
        <f ca="1" t="shared" si="4"/>
        <v>1</v>
      </c>
      <c r="H21" s="65">
        <f ca="1" t="shared" si="5"/>
        <v>1</v>
      </c>
      <c r="I21" s="66">
        <f ca="1" t="shared" si="5"/>
        <v>2</v>
      </c>
      <c r="J21" s="66">
        <f ca="1" t="shared" si="5"/>
        <v>9</v>
      </c>
      <c r="K21" s="66">
        <f ca="1" t="shared" si="5"/>
        <v>3</v>
      </c>
      <c r="L21" s="67">
        <f ca="1" t="shared" si="5"/>
        <v>5</v>
      </c>
      <c r="M21" s="68">
        <f ca="1" t="shared" si="6"/>
        <v>6</v>
      </c>
      <c r="N21" s="69">
        <f ca="1" t="shared" si="6"/>
        <v>1</v>
      </c>
      <c r="O21" s="69">
        <f ca="1" t="shared" si="6"/>
        <v>8</v>
      </c>
      <c r="P21" s="69">
        <f ca="1" t="shared" si="6"/>
        <v>12</v>
      </c>
      <c r="Q21" s="70">
        <f ca="1" t="shared" si="6"/>
        <v>4</v>
      </c>
      <c r="R21" s="71">
        <f ca="1" t="shared" si="7"/>
        <v>28</v>
      </c>
      <c r="S21" s="72">
        <f ca="1" t="shared" si="7"/>
        <v>19</v>
      </c>
      <c r="T21" s="72">
        <f ca="1" t="shared" si="7"/>
        <v>44</v>
      </c>
      <c r="U21" s="72">
        <f ca="1" t="shared" si="7"/>
        <v>100</v>
      </c>
      <c r="V21" s="73">
        <f ca="1" t="shared" si="7"/>
        <v>72</v>
      </c>
    </row>
    <row r="22" spans="2:22" ht="12.75">
      <c r="B22" s="61">
        <v>19</v>
      </c>
      <c r="C22" s="74">
        <f ca="1" t="shared" si="4"/>
        <v>1</v>
      </c>
      <c r="D22" s="75">
        <f ca="1" t="shared" si="4"/>
        <v>4</v>
      </c>
      <c r="E22" s="75">
        <f ca="1" t="shared" si="4"/>
        <v>6</v>
      </c>
      <c r="F22" s="75">
        <f ca="1" t="shared" si="4"/>
        <v>2</v>
      </c>
      <c r="G22" s="76">
        <f ca="1" t="shared" si="4"/>
        <v>4</v>
      </c>
      <c r="H22" s="77">
        <f ca="1" t="shared" si="5"/>
        <v>5</v>
      </c>
      <c r="I22" s="78">
        <f ca="1" t="shared" si="5"/>
        <v>4</v>
      </c>
      <c r="J22" s="78">
        <f ca="1" t="shared" si="5"/>
        <v>9</v>
      </c>
      <c r="K22" s="78">
        <f ca="1" t="shared" si="5"/>
        <v>5</v>
      </c>
      <c r="L22" s="79">
        <f ca="1" t="shared" si="5"/>
        <v>6</v>
      </c>
      <c r="M22" s="80">
        <f ca="1" t="shared" si="6"/>
        <v>15</v>
      </c>
      <c r="N22" s="81">
        <f ca="1" t="shared" si="6"/>
        <v>3</v>
      </c>
      <c r="O22" s="81">
        <f ca="1" t="shared" si="6"/>
        <v>17</v>
      </c>
      <c r="P22" s="81">
        <f ca="1" t="shared" si="6"/>
        <v>14</v>
      </c>
      <c r="Q22" s="82">
        <f ca="1" t="shared" si="6"/>
        <v>11</v>
      </c>
      <c r="R22" s="83">
        <f ca="1" t="shared" si="7"/>
        <v>44</v>
      </c>
      <c r="S22" s="84">
        <f ca="1" t="shared" si="7"/>
        <v>80</v>
      </c>
      <c r="T22" s="84">
        <f ca="1" t="shared" si="7"/>
        <v>63</v>
      </c>
      <c r="U22" s="84">
        <f ca="1" t="shared" si="7"/>
        <v>91</v>
      </c>
      <c r="V22" s="85">
        <f ca="1" t="shared" si="7"/>
        <v>38</v>
      </c>
    </row>
    <row r="23" spans="2:22" ht="13.5" thickBot="1">
      <c r="B23" s="86">
        <v>20</v>
      </c>
      <c r="C23" s="87">
        <f ca="1" t="shared" si="4"/>
        <v>6</v>
      </c>
      <c r="D23" s="88">
        <f ca="1" t="shared" si="4"/>
        <v>5</v>
      </c>
      <c r="E23" s="88">
        <f ca="1" t="shared" si="4"/>
        <v>1</v>
      </c>
      <c r="F23" s="88">
        <f ca="1" t="shared" si="4"/>
        <v>4</v>
      </c>
      <c r="G23" s="89">
        <f ca="1" t="shared" si="4"/>
        <v>2</v>
      </c>
      <c r="H23" s="90">
        <f ca="1" t="shared" si="5"/>
        <v>4</v>
      </c>
      <c r="I23" s="91">
        <f ca="1" t="shared" si="5"/>
        <v>6</v>
      </c>
      <c r="J23" s="91">
        <f ca="1" t="shared" si="5"/>
        <v>7</v>
      </c>
      <c r="K23" s="91">
        <f ca="1" t="shared" si="5"/>
        <v>8</v>
      </c>
      <c r="L23" s="92">
        <f ca="1" t="shared" si="5"/>
        <v>4</v>
      </c>
      <c r="M23" s="93">
        <f ca="1" t="shared" si="6"/>
        <v>14</v>
      </c>
      <c r="N23" s="94">
        <f ca="1" t="shared" si="6"/>
        <v>20</v>
      </c>
      <c r="O23" s="94">
        <f ca="1" t="shared" si="6"/>
        <v>4</v>
      </c>
      <c r="P23" s="94">
        <f ca="1" t="shared" si="6"/>
        <v>6</v>
      </c>
      <c r="Q23" s="95">
        <f ca="1" t="shared" si="6"/>
        <v>19</v>
      </c>
      <c r="R23" s="96">
        <f ca="1" t="shared" si="7"/>
        <v>40</v>
      </c>
      <c r="S23" s="97">
        <f ca="1" t="shared" si="7"/>
        <v>14</v>
      </c>
      <c r="T23" s="97">
        <f ca="1" t="shared" si="7"/>
        <v>53</v>
      </c>
      <c r="U23" s="97">
        <f ca="1" t="shared" si="7"/>
        <v>92</v>
      </c>
      <c r="V23" s="98">
        <f ca="1" t="shared" si="7"/>
        <v>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76"/>
  <sheetViews>
    <sheetView zoomScalePageLayoutView="0" workbookViewId="0" topLeftCell="B227">
      <selection activeCell="F244" sqref="F244"/>
    </sheetView>
  </sheetViews>
  <sheetFormatPr defaultColWidth="9.140625" defaultRowHeight="12.75"/>
  <cols>
    <col min="1" max="1" width="28.8515625" style="0" bestFit="1" customWidth="1"/>
    <col min="2" max="2" width="7.28125" style="0" bestFit="1" customWidth="1"/>
    <col min="3" max="3" width="36.28125" style="0" bestFit="1" customWidth="1"/>
    <col min="4" max="4" width="5.00390625" style="0" bestFit="1" customWidth="1"/>
    <col min="5" max="6" width="9.00390625" style="0" bestFit="1" customWidth="1"/>
    <col min="7" max="7" width="11.7109375" style="0" bestFit="1" customWidth="1"/>
    <col min="8" max="8" width="27.28125" style="0" bestFit="1" customWidth="1"/>
    <col min="9" max="9" width="16.00390625" style="0" bestFit="1" customWidth="1"/>
    <col min="10" max="10" width="68.57421875" style="0" bestFit="1" customWidth="1"/>
    <col min="13" max="13" width="18.7109375" style="0" bestFit="1" customWidth="1"/>
    <col min="26" max="26" width="8.8515625" style="0" customWidth="1"/>
    <col min="39" max="39" width="30.28125" style="99" bestFit="1" customWidth="1"/>
    <col min="40" max="40" width="8.8515625" style="99" customWidth="1"/>
  </cols>
  <sheetData>
    <row r="1" spans="1:24" ht="12.75">
      <c r="A1" s="172" t="s">
        <v>441</v>
      </c>
      <c r="B1" s="187"/>
      <c r="C1" s="187"/>
      <c r="D1" s="187"/>
      <c r="E1" s="2"/>
      <c r="F1" s="2"/>
      <c r="G1" s="2"/>
      <c r="H1" s="2"/>
      <c r="I1" s="2"/>
      <c r="J1" s="2"/>
      <c r="K1" s="2"/>
      <c r="M1" s="172" t="s">
        <v>440</v>
      </c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40" ht="12.75">
      <c r="A2" t="s">
        <v>59</v>
      </c>
      <c r="B2" t="s">
        <v>63</v>
      </c>
      <c r="C2" t="s">
        <v>60</v>
      </c>
      <c r="D2" t="s">
        <v>61</v>
      </c>
      <c r="E2" t="s">
        <v>621</v>
      </c>
      <c r="F2" t="s">
        <v>627</v>
      </c>
      <c r="G2" t="s">
        <v>616</v>
      </c>
      <c r="H2" t="s">
        <v>617</v>
      </c>
      <c r="I2" t="s">
        <v>618</v>
      </c>
      <c r="J2" t="s">
        <v>619</v>
      </c>
      <c r="N2" s="116" t="s">
        <v>496</v>
      </c>
      <c r="O2" s="116" t="s">
        <v>497</v>
      </c>
      <c r="P2" s="116" t="s">
        <v>498</v>
      </c>
      <c r="Q2" s="116" t="s">
        <v>499</v>
      </c>
      <c r="R2" s="116" t="s">
        <v>500</v>
      </c>
      <c r="S2" s="116" t="s">
        <v>501</v>
      </c>
      <c r="T2" s="116" t="s">
        <v>502</v>
      </c>
      <c r="U2" s="116" t="s">
        <v>503</v>
      </c>
      <c r="V2" s="116" t="s">
        <v>504</v>
      </c>
      <c r="W2" s="116" t="s">
        <v>505</v>
      </c>
      <c r="X2" s="117" t="s">
        <v>506</v>
      </c>
      <c r="Z2" s="115" t="s">
        <v>509</v>
      </c>
      <c r="AA2" s="116" t="s">
        <v>496</v>
      </c>
      <c r="AB2" s="116" t="s">
        <v>497</v>
      </c>
      <c r="AC2" s="116" t="s">
        <v>498</v>
      </c>
      <c r="AD2" s="116" t="s">
        <v>499</v>
      </c>
      <c r="AE2" s="116" t="s">
        <v>500</v>
      </c>
      <c r="AF2" s="116" t="s">
        <v>501</v>
      </c>
      <c r="AG2" s="116" t="s">
        <v>502</v>
      </c>
      <c r="AH2" s="116" t="s">
        <v>503</v>
      </c>
      <c r="AI2" s="116" t="s">
        <v>504</v>
      </c>
      <c r="AJ2" s="116" t="s">
        <v>505</v>
      </c>
      <c r="AK2" s="116" t="s">
        <v>506</v>
      </c>
      <c r="AL2" s="154"/>
      <c r="AM2" s="189" t="s">
        <v>704</v>
      </c>
      <c r="AN2" s="189" t="s">
        <v>20</v>
      </c>
    </row>
    <row r="3" spans="14:39" ht="13.5" thickBot="1"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  <c r="Z3" s="115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54"/>
      <c r="AM3" s="155" t="s">
        <v>508</v>
      </c>
    </row>
    <row r="4" spans="1:40" ht="12.75">
      <c r="A4" t="s">
        <v>62</v>
      </c>
      <c r="B4" t="s">
        <v>64</v>
      </c>
      <c r="C4" t="s">
        <v>107</v>
      </c>
      <c r="D4">
        <v>150</v>
      </c>
      <c r="F4" t="str">
        <f>"PC + "&amp;4*Investments!$C$7+Investments!$C$16+Investments!$C$17</f>
        <v>PC + 83</v>
      </c>
      <c r="G4" t="s">
        <v>622</v>
      </c>
      <c r="H4" t="s">
        <v>623</v>
      </c>
      <c r="I4" t="s">
        <v>623</v>
      </c>
      <c r="M4" s="103" t="s">
        <v>442</v>
      </c>
      <c r="N4" s="104">
        <v>250</v>
      </c>
      <c r="O4" s="104">
        <v>100</v>
      </c>
      <c r="P4" s="104">
        <v>150</v>
      </c>
      <c r="Q4" s="104">
        <v>350</v>
      </c>
      <c r="R4" s="104">
        <v>700</v>
      </c>
      <c r="S4" s="104">
        <v>950</v>
      </c>
      <c r="T4" s="104">
        <v>1500</v>
      </c>
      <c r="U4" s="104">
        <v>1850</v>
      </c>
      <c r="V4" s="104">
        <v>2500</v>
      </c>
      <c r="W4" s="104">
        <v>3200</v>
      </c>
      <c r="X4" s="105">
        <v>4000</v>
      </c>
      <c r="Z4" s="122" t="s">
        <v>510</v>
      </c>
      <c r="AA4" s="116">
        <v>75</v>
      </c>
      <c r="AB4" s="116">
        <v>150</v>
      </c>
      <c r="AC4" s="116">
        <v>300</v>
      </c>
      <c r="AD4" s="116">
        <v>500</v>
      </c>
      <c r="AE4" s="116">
        <v>1000</v>
      </c>
      <c r="AF4" s="116">
        <v>2000</v>
      </c>
      <c r="AG4" s="116">
        <v>4000</v>
      </c>
      <c r="AH4" s="116">
        <v>8000</v>
      </c>
      <c r="AI4" s="116" t="e">
        <v>#VALUE!</v>
      </c>
      <c r="AJ4" s="116" t="e">
        <v>#VALUE!</v>
      </c>
      <c r="AK4" s="116" t="e">
        <v>#VALUE!</v>
      </c>
      <c r="AL4" s="154"/>
      <c r="AM4" s="191" t="s">
        <v>712</v>
      </c>
      <c r="AN4" s="99">
        <f>10/20</f>
        <v>0.5</v>
      </c>
    </row>
    <row r="5" spans="1:40" ht="12.75">
      <c r="A5" t="s">
        <v>62</v>
      </c>
      <c r="B5" t="s">
        <v>65</v>
      </c>
      <c r="C5" t="s">
        <v>108</v>
      </c>
      <c r="D5">
        <v>500</v>
      </c>
      <c r="E5">
        <v>15</v>
      </c>
      <c r="F5">
        <f>E5+3*Investments!$C$7+Investments!$C$16+Investments!$C$17</f>
        <v>83</v>
      </c>
      <c r="G5" t="str">
        <f>15+15*Investments!$C$7&amp;" feet"</f>
        <v>240 feet</v>
      </c>
      <c r="H5" t="str">
        <f>1+1*Investments!$C$7&amp;" hours"</f>
        <v>16 hours</v>
      </c>
      <c r="I5" t="s">
        <v>623</v>
      </c>
      <c r="M5" s="106" t="s">
        <v>46</v>
      </c>
      <c r="N5" s="107">
        <v>800</v>
      </c>
      <c r="O5" s="107">
        <v>350</v>
      </c>
      <c r="P5" s="107">
        <v>1200</v>
      </c>
      <c r="Q5" s="107">
        <v>2650</v>
      </c>
      <c r="R5" s="107">
        <v>4350</v>
      </c>
      <c r="S5" s="107">
        <v>6500</v>
      </c>
      <c r="T5" s="107">
        <v>8650</v>
      </c>
      <c r="U5" s="107">
        <v>11100</v>
      </c>
      <c r="V5" s="107">
        <v>12750</v>
      </c>
      <c r="W5" s="107">
        <v>14500</v>
      </c>
      <c r="X5" s="108">
        <v>17000</v>
      </c>
      <c r="Z5" s="122" t="s">
        <v>511</v>
      </c>
      <c r="AA5" s="116">
        <v>25</v>
      </c>
      <c r="AB5" s="116">
        <v>50</v>
      </c>
      <c r="AC5" s="116">
        <v>100</v>
      </c>
      <c r="AD5" s="116">
        <v>200</v>
      </c>
      <c r="AE5" s="116">
        <v>400</v>
      </c>
      <c r="AF5" s="116">
        <v>800</v>
      </c>
      <c r="AG5" s="116">
        <v>1500</v>
      </c>
      <c r="AH5" s="116">
        <v>3000</v>
      </c>
      <c r="AI5" s="116">
        <v>6000</v>
      </c>
      <c r="AJ5" s="116">
        <v>10000</v>
      </c>
      <c r="AK5" s="116">
        <v>15000</v>
      </c>
      <c r="AL5" s="154"/>
      <c r="AM5" s="152" t="s">
        <v>510</v>
      </c>
      <c r="AN5" s="99">
        <v>20</v>
      </c>
    </row>
    <row r="6" spans="1:40" ht="12.75">
      <c r="A6" t="s">
        <v>62</v>
      </c>
      <c r="B6" t="s">
        <v>66</v>
      </c>
      <c r="C6" t="s">
        <v>109</v>
      </c>
      <c r="D6">
        <v>300</v>
      </c>
      <c r="E6">
        <v>20</v>
      </c>
      <c r="F6">
        <f>E6+3*Investments!$C$7+Investments!$C$16+Investments!$C$17</f>
        <v>88</v>
      </c>
      <c r="G6" t="str">
        <f>15+15*Investments!$C$7&amp;" feet"</f>
        <v>240 feet</v>
      </c>
      <c r="H6" t="str">
        <f>10+10*Investments!$C$7&amp;" seconds"</f>
        <v>160 seconds</v>
      </c>
      <c r="I6" t="s">
        <v>623</v>
      </c>
      <c r="J6" t="str">
        <f>2+5*Investments!$C$7&amp;" pounds at 1 MPH OR 2 pounds at "&amp;1+2*Investments!$C$7&amp;" MPH"</f>
        <v>77 pounds at 1 MPH OR 2 pounds at 31 MPH</v>
      </c>
      <c r="M6" s="106" t="s">
        <v>443</v>
      </c>
      <c r="N6" s="107">
        <v>600</v>
      </c>
      <c r="O6" s="107">
        <v>300</v>
      </c>
      <c r="P6" s="107">
        <v>800</v>
      </c>
      <c r="Q6" s="107">
        <v>1600</v>
      </c>
      <c r="R6" s="107">
        <v>3000</v>
      </c>
      <c r="S6" s="107">
        <v>5500</v>
      </c>
      <c r="T6" s="107">
        <v>6200</v>
      </c>
      <c r="U6" s="107">
        <v>7300</v>
      </c>
      <c r="V6" s="107">
        <v>8800</v>
      </c>
      <c r="W6" s="107">
        <v>10800</v>
      </c>
      <c r="X6" s="108">
        <v>14000</v>
      </c>
      <c r="Z6" s="122" t="s">
        <v>512</v>
      </c>
      <c r="AA6" s="116">
        <v>200</v>
      </c>
      <c r="AB6" s="116">
        <v>400</v>
      </c>
      <c r="AC6" s="116">
        <v>800</v>
      </c>
      <c r="AD6" s="116">
        <v>1500</v>
      </c>
      <c r="AE6" s="116">
        <v>3000</v>
      </c>
      <c r="AF6" s="116">
        <v>5000</v>
      </c>
      <c r="AG6" s="116">
        <v>10000</v>
      </c>
      <c r="AH6" s="116" t="e">
        <v>#VALUE!</v>
      </c>
      <c r="AI6" s="116" t="e">
        <v>#VALUE!</v>
      </c>
      <c r="AJ6" s="116" t="e">
        <v>#VALUE!</v>
      </c>
      <c r="AK6" s="116" t="e">
        <v>#VALUE!</v>
      </c>
      <c r="AL6" s="154"/>
      <c r="AM6" s="152" t="s">
        <v>511</v>
      </c>
      <c r="AN6" s="99">
        <v>3</v>
      </c>
    </row>
    <row r="7" spans="1:40" ht="12.75">
      <c r="A7" t="s">
        <v>62</v>
      </c>
      <c r="B7" t="s">
        <v>67</v>
      </c>
      <c r="C7" t="s">
        <v>624</v>
      </c>
      <c r="D7">
        <v>250</v>
      </c>
      <c r="E7">
        <v>15</v>
      </c>
      <c r="F7">
        <f>E7+3*Investments!$C$7+Investments!$C$16+Investments!$C$17</f>
        <v>83</v>
      </c>
      <c r="G7" t="str">
        <f>15+15*Investments!$C$7&amp;" feet"</f>
        <v>240 feet</v>
      </c>
      <c r="H7" t="str">
        <f>1+1*Investments!$C$7&amp;" hours"</f>
        <v>16 hours</v>
      </c>
      <c r="I7" t="s">
        <v>623</v>
      </c>
      <c r="J7" t="str">
        <f>IF(Investments!$C$7&lt;10,"May be wakened by another entity","Sleeps for the duration")</f>
        <v>Sleeps for the duration</v>
      </c>
      <c r="M7" s="106" t="s">
        <v>444</v>
      </c>
      <c r="N7" s="107">
        <v>600</v>
      </c>
      <c r="O7" s="107">
        <v>250</v>
      </c>
      <c r="P7" s="107">
        <v>750</v>
      </c>
      <c r="Q7" s="107">
        <v>1700</v>
      </c>
      <c r="R7" s="107">
        <v>2900</v>
      </c>
      <c r="S7" s="107">
        <v>4200</v>
      </c>
      <c r="T7" s="107">
        <v>5750</v>
      </c>
      <c r="U7" s="107">
        <v>7550</v>
      </c>
      <c r="V7" s="107">
        <v>9500</v>
      </c>
      <c r="W7" s="107">
        <v>11700</v>
      </c>
      <c r="X7" s="108">
        <v>14100</v>
      </c>
      <c r="Z7" s="122" t="s">
        <v>513</v>
      </c>
      <c r="AA7" s="116">
        <v>100</v>
      </c>
      <c r="AB7" s="116">
        <v>400</v>
      </c>
      <c r="AC7" s="116">
        <v>900</v>
      </c>
      <c r="AD7" s="116">
        <v>1900</v>
      </c>
      <c r="AE7" s="116">
        <v>3100</v>
      </c>
      <c r="AF7" s="116">
        <v>4600</v>
      </c>
      <c r="AG7" s="116">
        <v>6100</v>
      </c>
      <c r="AH7" s="116">
        <v>7600</v>
      </c>
      <c r="AI7" s="116" t="e">
        <v>#VALUE!</v>
      </c>
      <c r="AJ7" s="116" t="e">
        <v>#VALUE!</v>
      </c>
      <c r="AK7" s="116" t="e">
        <v>#VALUE!</v>
      </c>
      <c r="AL7" s="154"/>
      <c r="AM7" s="152" t="s">
        <v>571</v>
      </c>
      <c r="AN7" s="188">
        <v>3</v>
      </c>
    </row>
    <row r="8" spans="1:40" ht="12.75">
      <c r="A8" t="s">
        <v>62</v>
      </c>
      <c r="B8" t="s">
        <v>68</v>
      </c>
      <c r="C8" t="s">
        <v>110</v>
      </c>
      <c r="D8">
        <v>100</v>
      </c>
      <c r="E8">
        <v>40</v>
      </c>
      <c r="F8">
        <f>E8+3*Investments!$C$7+Investments!$C$16+Investments!$C$17</f>
        <v>108</v>
      </c>
      <c r="G8" t="str">
        <f>1+1*Investments!$C$7&amp;" feet"</f>
        <v>16 feet</v>
      </c>
      <c r="H8" t="str">
        <f>1+1*Investments!$C$7&amp;" hours"</f>
        <v>16 hours</v>
      </c>
      <c r="I8" t="s">
        <v>623</v>
      </c>
      <c r="M8" s="106" t="s">
        <v>445</v>
      </c>
      <c r="N8" s="107">
        <v>400</v>
      </c>
      <c r="O8" s="107">
        <v>150</v>
      </c>
      <c r="P8" s="107">
        <v>500</v>
      </c>
      <c r="Q8" s="107">
        <v>1150</v>
      </c>
      <c r="R8" s="107">
        <v>2050</v>
      </c>
      <c r="S8" s="107">
        <v>3100</v>
      </c>
      <c r="T8" s="107">
        <v>4400</v>
      </c>
      <c r="U8" s="107">
        <v>5900</v>
      </c>
      <c r="V8" s="107">
        <v>7500</v>
      </c>
      <c r="W8" s="107">
        <v>9400</v>
      </c>
      <c r="X8" s="108">
        <v>11500</v>
      </c>
      <c r="Z8" s="122" t="s">
        <v>514</v>
      </c>
      <c r="AA8" s="116">
        <v>50</v>
      </c>
      <c r="AB8" s="116">
        <v>100</v>
      </c>
      <c r="AC8" s="116">
        <v>200</v>
      </c>
      <c r="AD8" s="116">
        <v>400</v>
      </c>
      <c r="AE8" s="116">
        <v>800</v>
      </c>
      <c r="AF8" s="116">
        <v>1500</v>
      </c>
      <c r="AG8" s="116">
        <v>3000</v>
      </c>
      <c r="AH8" s="116" t="e">
        <v>#VALUE!</v>
      </c>
      <c r="AI8" s="116" t="e">
        <v>#VALUE!</v>
      </c>
      <c r="AJ8" s="116" t="e">
        <v>#VALUE!</v>
      </c>
      <c r="AK8" s="116" t="e">
        <v>#VALUE!</v>
      </c>
      <c r="AL8" s="154"/>
      <c r="AM8" s="152" t="s">
        <v>512</v>
      </c>
      <c r="AN8" s="99">
        <v>5</v>
      </c>
    </row>
    <row r="9" spans="1:40" ht="12.75">
      <c r="A9" t="s">
        <v>62</v>
      </c>
      <c r="B9" t="s">
        <v>69</v>
      </c>
      <c r="C9" t="s">
        <v>111</v>
      </c>
      <c r="D9">
        <v>100</v>
      </c>
      <c r="E9">
        <v>40</v>
      </c>
      <c r="F9">
        <f>E9+3*Investments!$C$7+Investments!$C$16+Investments!$C$17</f>
        <v>108</v>
      </c>
      <c r="G9" t="str">
        <f>15+15*Investments!$C$7&amp;" feet"</f>
        <v>240 feet</v>
      </c>
      <c r="H9" t="str">
        <f>10+10*Investments!$C$7&amp;" minutes"</f>
        <v>160 minutes</v>
      </c>
      <c r="I9" t="s">
        <v>623</v>
      </c>
      <c r="J9" t="s">
        <v>625</v>
      </c>
      <c r="M9" s="106" t="s">
        <v>446</v>
      </c>
      <c r="N9" s="107">
        <v>600</v>
      </c>
      <c r="O9" s="107">
        <v>250</v>
      </c>
      <c r="P9" s="107">
        <v>750</v>
      </c>
      <c r="Q9" s="107">
        <v>1650</v>
      </c>
      <c r="R9" s="107">
        <v>2800</v>
      </c>
      <c r="S9" s="107">
        <v>4300</v>
      </c>
      <c r="T9" s="107">
        <v>5600</v>
      </c>
      <c r="U9" s="107">
        <v>7350</v>
      </c>
      <c r="V9" s="107">
        <v>9300</v>
      </c>
      <c r="W9" s="107">
        <v>11400</v>
      </c>
      <c r="X9" s="108">
        <v>13750</v>
      </c>
      <c r="Z9" s="122" t="s">
        <v>515</v>
      </c>
      <c r="AA9" s="116">
        <v>30</v>
      </c>
      <c r="AB9" s="116">
        <v>70</v>
      </c>
      <c r="AC9" s="116">
        <v>120</v>
      </c>
      <c r="AD9" s="116">
        <v>220</v>
      </c>
      <c r="AE9" s="116">
        <v>420</v>
      </c>
      <c r="AF9" s="116">
        <v>820</v>
      </c>
      <c r="AG9" s="116">
        <v>1520</v>
      </c>
      <c r="AH9" s="116">
        <v>3020</v>
      </c>
      <c r="AI9" s="116">
        <v>6020</v>
      </c>
      <c r="AJ9" s="116">
        <v>12020</v>
      </c>
      <c r="AK9" s="116" t="e">
        <v>#VALUE!</v>
      </c>
      <c r="AL9" s="154"/>
      <c r="AM9" s="152" t="s">
        <v>513</v>
      </c>
      <c r="AN9" s="99">
        <v>2</v>
      </c>
    </row>
    <row r="10" spans="1:40" ht="12.75">
      <c r="A10" t="s">
        <v>62</v>
      </c>
      <c r="B10" t="s">
        <v>70</v>
      </c>
      <c r="C10" t="s">
        <v>112</v>
      </c>
      <c r="D10">
        <v>200</v>
      </c>
      <c r="E10">
        <v>15</v>
      </c>
      <c r="F10">
        <f>E10+3*Investments!$C$7+Investments!$C$16+Investments!$C$17</f>
        <v>83</v>
      </c>
      <c r="G10" t="str">
        <f>10+5*Investments!$C$7&amp;" miles"</f>
        <v>85 miles</v>
      </c>
      <c r="H10" t="str">
        <f>1+1*Investments!$C$7&amp;" hours"</f>
        <v>16 hours</v>
      </c>
      <c r="I10" t="s">
        <v>623</v>
      </c>
      <c r="M10" s="106" t="s">
        <v>447</v>
      </c>
      <c r="N10" s="107">
        <v>0</v>
      </c>
      <c r="O10" s="107">
        <v>125</v>
      </c>
      <c r="P10" s="107">
        <v>250</v>
      </c>
      <c r="Q10" s="107">
        <v>375</v>
      </c>
      <c r="R10" s="107">
        <v>500</v>
      </c>
      <c r="S10" s="107">
        <v>625</v>
      </c>
      <c r="T10" s="107">
        <v>750</v>
      </c>
      <c r="U10" s="107">
        <v>875</v>
      </c>
      <c r="V10" s="107">
        <v>1000</v>
      </c>
      <c r="W10" s="107">
        <v>1125</v>
      </c>
      <c r="X10" s="108">
        <v>1250</v>
      </c>
      <c r="Z10" s="122" t="s">
        <v>516</v>
      </c>
      <c r="AA10" s="116">
        <v>50</v>
      </c>
      <c r="AB10" s="116">
        <v>100</v>
      </c>
      <c r="AC10" s="116">
        <v>200</v>
      </c>
      <c r="AD10" s="116">
        <v>400</v>
      </c>
      <c r="AE10" s="116">
        <v>800</v>
      </c>
      <c r="AF10" s="116">
        <v>1500</v>
      </c>
      <c r="AG10" s="116">
        <v>3000</v>
      </c>
      <c r="AH10" s="116">
        <v>4800</v>
      </c>
      <c r="AI10" s="116" t="e">
        <v>#VALUE!</v>
      </c>
      <c r="AJ10" s="116" t="e">
        <v>#VALUE!</v>
      </c>
      <c r="AK10" s="116" t="e">
        <v>#VALUE!</v>
      </c>
      <c r="AL10" s="154"/>
      <c r="AM10" s="152" t="s">
        <v>514</v>
      </c>
      <c r="AN10" s="99">
        <v>50</v>
      </c>
    </row>
    <row r="11" spans="1:40" ht="12.75">
      <c r="A11" t="s">
        <v>62</v>
      </c>
      <c r="B11" t="s">
        <v>71</v>
      </c>
      <c r="C11" t="s">
        <v>113</v>
      </c>
      <c r="D11">
        <v>850</v>
      </c>
      <c r="E11">
        <v>5</v>
      </c>
      <c r="F11">
        <f>E11+3*Investments!$C$7+Investments!$C$16+Investments!$C$17</f>
        <v>73</v>
      </c>
      <c r="G11" t="str">
        <f>15+15*Investments!$C$7&amp;" feet"</f>
        <v>240 feet</v>
      </c>
      <c r="H11" t="s">
        <v>626</v>
      </c>
      <c r="I11" t="s">
        <v>623</v>
      </c>
      <c r="M11" s="106" t="s">
        <v>448</v>
      </c>
      <c r="N11" s="107">
        <v>250</v>
      </c>
      <c r="O11" s="107">
        <v>100</v>
      </c>
      <c r="P11" s="107">
        <v>200</v>
      </c>
      <c r="Q11" s="107">
        <v>500</v>
      </c>
      <c r="R11" s="107">
        <v>950</v>
      </c>
      <c r="S11" s="107">
        <v>1450</v>
      </c>
      <c r="T11" s="107">
        <v>2050</v>
      </c>
      <c r="U11" s="107">
        <v>2800</v>
      </c>
      <c r="V11" s="107">
        <v>3600</v>
      </c>
      <c r="W11" s="107">
        <v>6300</v>
      </c>
      <c r="X11" s="108">
        <v>8000</v>
      </c>
      <c r="Z11" s="122" t="s">
        <v>517</v>
      </c>
      <c r="AA11" s="116">
        <v>300</v>
      </c>
      <c r="AB11" s="116">
        <v>500</v>
      </c>
      <c r="AC11" s="116">
        <v>1000</v>
      </c>
      <c r="AD11" s="116">
        <v>2000</v>
      </c>
      <c r="AE11" s="116">
        <v>4000</v>
      </c>
      <c r="AF11" s="116">
        <v>6000</v>
      </c>
      <c r="AG11" s="116">
        <v>8000</v>
      </c>
      <c r="AH11" s="116">
        <v>10000</v>
      </c>
      <c r="AI11" s="116">
        <v>13000</v>
      </c>
      <c r="AJ11" s="116" t="e">
        <v>#VALUE!</v>
      </c>
      <c r="AK11" s="116" t="e">
        <v>#VALUE!</v>
      </c>
      <c r="AL11" s="154"/>
      <c r="AM11" s="152" t="s">
        <v>515</v>
      </c>
      <c r="AN11" s="99">
        <v>15</v>
      </c>
    </row>
    <row r="12" spans="1:40" ht="12.75">
      <c r="A12" t="s">
        <v>62</v>
      </c>
      <c r="B12" t="s">
        <v>72</v>
      </c>
      <c r="C12" t="s">
        <v>114</v>
      </c>
      <c r="D12">
        <v>450</v>
      </c>
      <c r="E12">
        <v>45</v>
      </c>
      <c r="F12">
        <f>E12+3*Investments!$C$7+Investments!$C$16+Investments!$C$17</f>
        <v>113</v>
      </c>
      <c r="G12" t="str">
        <f>15+15*Investments!$C$7&amp;" feet"</f>
        <v>240 feet</v>
      </c>
      <c r="H12" t="str">
        <f>5+5*Investments!$C$7&amp;" minutes"</f>
        <v>80 minutes</v>
      </c>
      <c r="I12" t="s">
        <v>623</v>
      </c>
      <c r="J12" t="str">
        <f>IF(Investments!$C$7&lt;16,"Becomes visible before initiating an attack","May attack while invisible")</f>
        <v>Becomes visible before initiating an attack</v>
      </c>
      <c r="M12" s="106" t="s">
        <v>449</v>
      </c>
      <c r="N12" s="107">
        <v>0</v>
      </c>
      <c r="O12" s="107">
        <v>125</v>
      </c>
      <c r="P12" s="107">
        <v>250</v>
      </c>
      <c r="Q12" s="107">
        <v>375</v>
      </c>
      <c r="R12" s="107">
        <v>500</v>
      </c>
      <c r="S12" s="107">
        <v>625</v>
      </c>
      <c r="T12" s="107">
        <v>750</v>
      </c>
      <c r="U12" s="107">
        <v>875</v>
      </c>
      <c r="V12" s="107">
        <v>1000</v>
      </c>
      <c r="W12" s="107">
        <v>1125</v>
      </c>
      <c r="X12" s="108">
        <v>1250</v>
      </c>
      <c r="Z12" s="122" t="s">
        <v>518</v>
      </c>
      <c r="AA12" s="116">
        <v>100</v>
      </c>
      <c r="AB12" s="116">
        <v>200</v>
      </c>
      <c r="AC12" s="116">
        <v>400</v>
      </c>
      <c r="AD12" s="116">
        <v>800</v>
      </c>
      <c r="AE12" s="116">
        <v>1600</v>
      </c>
      <c r="AF12" s="116">
        <v>2600</v>
      </c>
      <c r="AG12" s="116" t="e">
        <v>#VALUE!</v>
      </c>
      <c r="AH12" s="116" t="e">
        <v>#VALUE!</v>
      </c>
      <c r="AI12" s="116" t="e">
        <v>#VALUE!</v>
      </c>
      <c r="AJ12" s="116" t="e">
        <v>#VALUE!</v>
      </c>
      <c r="AK12" s="116" t="e">
        <v>#VALUE!</v>
      </c>
      <c r="AL12" s="154"/>
      <c r="AM12" s="152" t="s">
        <v>516</v>
      </c>
      <c r="AN12" s="99">
        <v>80</v>
      </c>
    </row>
    <row r="13" spans="1:40" ht="12.75">
      <c r="A13" t="s">
        <v>62</v>
      </c>
      <c r="B13" t="s">
        <v>73</v>
      </c>
      <c r="C13" t="s">
        <v>115</v>
      </c>
      <c r="D13">
        <v>300</v>
      </c>
      <c r="E13">
        <v>20</v>
      </c>
      <c r="F13">
        <f>E13+3*Investments!$C$7+Investments!$C$16+Investments!$C$17</f>
        <v>88</v>
      </c>
      <c r="G13" t="str">
        <f>15+15*Investments!$C$7&amp;" feet"</f>
        <v>240 feet</v>
      </c>
      <c r="H13" t="str">
        <f>1+1*Investments!$C$7&amp;" days"</f>
        <v>16 days</v>
      </c>
      <c r="I13" t="s">
        <v>623</v>
      </c>
      <c r="J13" t="str">
        <f>-Investments!$C$7&amp;"% from targets Strike Chance AND Magic Resistance"</f>
        <v>-15% from targets Strike Chance AND Magic Resistance</v>
      </c>
      <c r="M13" s="106" t="s">
        <v>52</v>
      </c>
      <c r="N13" s="107">
        <v>1000</v>
      </c>
      <c r="O13" s="107">
        <v>400</v>
      </c>
      <c r="P13" s="107">
        <v>1600</v>
      </c>
      <c r="Q13" s="107">
        <v>3500</v>
      </c>
      <c r="R13" s="107">
        <v>5800</v>
      </c>
      <c r="S13" s="107">
        <v>8400</v>
      </c>
      <c r="T13" s="107">
        <v>11400</v>
      </c>
      <c r="U13" s="107">
        <v>14700</v>
      </c>
      <c r="V13" s="107">
        <v>18500</v>
      </c>
      <c r="W13" s="107">
        <v>22500</v>
      </c>
      <c r="X13" s="108">
        <v>26750</v>
      </c>
      <c r="Z13" s="122" t="s">
        <v>519</v>
      </c>
      <c r="AA13" s="116">
        <v>25</v>
      </c>
      <c r="AB13" s="116">
        <v>50</v>
      </c>
      <c r="AC13" s="116">
        <v>100</v>
      </c>
      <c r="AD13" s="116" t="e">
        <v>#VALUE!</v>
      </c>
      <c r="AE13" s="116" t="e">
        <v>#VALUE!</v>
      </c>
      <c r="AF13" s="116" t="e">
        <v>#VALUE!</v>
      </c>
      <c r="AG13" s="116" t="e">
        <v>#VALUE!</v>
      </c>
      <c r="AH13" s="116" t="e">
        <v>#VALUE!</v>
      </c>
      <c r="AI13" s="116" t="e">
        <v>#VALUE!</v>
      </c>
      <c r="AJ13" s="116" t="e">
        <v>#VALUE!</v>
      </c>
      <c r="AK13" s="116" t="e">
        <v>#VALUE!</v>
      </c>
      <c r="AL13" s="154"/>
      <c r="AM13" s="152" t="s">
        <v>517</v>
      </c>
      <c r="AN13" s="99">
        <v>30</v>
      </c>
    </row>
    <row r="14" spans="1:40" ht="12.75">
      <c r="A14" t="s">
        <v>62</v>
      </c>
      <c r="B14" t="s">
        <v>74</v>
      </c>
      <c r="C14" t="s">
        <v>116</v>
      </c>
      <c r="D14">
        <v>100</v>
      </c>
      <c r="E14">
        <v>60</v>
      </c>
      <c r="F14">
        <f>E14+3*Investments!$C$7+Investments!$C$16+Investments!$C$17</f>
        <v>128</v>
      </c>
      <c r="G14" t="s">
        <v>628</v>
      </c>
      <c r="H14" t="str">
        <f>5+3*Investments!$C$7&amp;" minutes"</f>
        <v>50 minutes</v>
      </c>
      <c r="I14" t="s">
        <v>623</v>
      </c>
      <c r="M14" s="106" t="s">
        <v>450</v>
      </c>
      <c r="N14" s="107">
        <v>800</v>
      </c>
      <c r="O14" s="107">
        <v>350</v>
      </c>
      <c r="P14" s="107">
        <v>1200</v>
      </c>
      <c r="Q14" s="107">
        <v>2650</v>
      </c>
      <c r="R14" s="107">
        <v>4350</v>
      </c>
      <c r="S14" s="107">
        <v>6500</v>
      </c>
      <c r="T14" s="107">
        <v>8650</v>
      </c>
      <c r="U14" s="107">
        <v>11100</v>
      </c>
      <c r="V14" s="107">
        <v>12750</v>
      </c>
      <c r="W14" s="107">
        <v>14500</v>
      </c>
      <c r="X14" s="108">
        <v>17000</v>
      </c>
      <c r="Z14" s="122" t="s">
        <v>520</v>
      </c>
      <c r="AA14" s="116">
        <v>25</v>
      </c>
      <c r="AB14" s="116">
        <v>50</v>
      </c>
      <c r="AC14" s="116">
        <v>100</v>
      </c>
      <c r="AD14" s="116">
        <v>200</v>
      </c>
      <c r="AE14" s="116">
        <v>400</v>
      </c>
      <c r="AF14" s="116">
        <v>800</v>
      </c>
      <c r="AG14" s="116">
        <v>1500</v>
      </c>
      <c r="AH14" s="116">
        <v>3000</v>
      </c>
      <c r="AI14" s="116">
        <v>6000</v>
      </c>
      <c r="AJ14" s="116">
        <v>10000</v>
      </c>
      <c r="AK14" s="116" t="e">
        <v>#VALUE!</v>
      </c>
      <c r="AL14" s="154"/>
      <c r="AM14" s="152" t="s">
        <v>726</v>
      </c>
      <c r="AN14" s="99">
        <v>10</v>
      </c>
    </row>
    <row r="15" spans="1:40" ht="12.75">
      <c r="A15" t="s">
        <v>62</v>
      </c>
      <c r="B15" t="s">
        <v>75</v>
      </c>
      <c r="C15" t="s">
        <v>117</v>
      </c>
      <c r="D15">
        <v>200</v>
      </c>
      <c r="E15">
        <v>50</v>
      </c>
      <c r="F15">
        <f>E15+3*Investments!$C$7+Investments!$C$16+Investments!$C$17</f>
        <v>118</v>
      </c>
      <c r="G15" t="str">
        <f>15+15*Investments!$C$7&amp;" feet"</f>
        <v>240 feet</v>
      </c>
      <c r="H15" t="s">
        <v>629</v>
      </c>
      <c r="I15" t="str">
        <f>"[D - 5] + "&amp;Investments!$C$7</f>
        <v>[D - 5] + 15</v>
      </c>
      <c r="J15" t="s">
        <v>630</v>
      </c>
      <c r="M15" s="106" t="s">
        <v>451</v>
      </c>
      <c r="N15" s="107">
        <v>0</v>
      </c>
      <c r="O15" s="107">
        <v>125</v>
      </c>
      <c r="P15" s="107">
        <v>250</v>
      </c>
      <c r="Q15" s="107">
        <v>375</v>
      </c>
      <c r="R15" s="107">
        <v>500</v>
      </c>
      <c r="S15" s="107">
        <v>625</v>
      </c>
      <c r="T15" s="107">
        <v>750</v>
      </c>
      <c r="U15" s="107">
        <v>875</v>
      </c>
      <c r="V15" s="107">
        <v>1000</v>
      </c>
      <c r="W15" s="107">
        <v>1125</v>
      </c>
      <c r="X15" s="108">
        <v>1250</v>
      </c>
      <c r="Z15" s="122" t="s">
        <v>521</v>
      </c>
      <c r="AA15" s="116">
        <v>200</v>
      </c>
      <c r="AB15" s="116">
        <v>300</v>
      </c>
      <c r="AC15" s="116">
        <v>500</v>
      </c>
      <c r="AD15" s="116">
        <v>1000</v>
      </c>
      <c r="AE15" s="116">
        <v>2000</v>
      </c>
      <c r="AF15" s="116">
        <v>4000</v>
      </c>
      <c r="AG15" s="116">
        <v>6000</v>
      </c>
      <c r="AH15" s="116">
        <v>8000</v>
      </c>
      <c r="AI15" s="116">
        <v>10000</v>
      </c>
      <c r="AJ15" s="116">
        <v>12000</v>
      </c>
      <c r="AK15" s="116">
        <v>14000</v>
      </c>
      <c r="AL15" s="154"/>
      <c r="AM15" s="152" t="s">
        <v>518</v>
      </c>
      <c r="AN15" s="99">
        <v>15</v>
      </c>
    </row>
    <row r="16" spans="1:40" ht="12.75">
      <c r="A16" t="s">
        <v>62</v>
      </c>
      <c r="B16" t="s">
        <v>76</v>
      </c>
      <c r="C16" t="s">
        <v>118</v>
      </c>
      <c r="D16">
        <v>150</v>
      </c>
      <c r="E16">
        <v>30</v>
      </c>
      <c r="F16">
        <f>E16+3*Investments!$C$7+Investments!$C$16+Investments!$C$17</f>
        <v>98</v>
      </c>
      <c r="G16" t="str">
        <f>15+15*ROUNDUP(Investments!$C$7/2,0)&amp;" feet"</f>
        <v>135 feet</v>
      </c>
      <c r="H16" t="s">
        <v>629</v>
      </c>
      <c r="I16" t="s">
        <v>623</v>
      </c>
      <c r="Z16" s="122" t="s">
        <v>522</v>
      </c>
      <c r="AA16" s="116">
        <v>75</v>
      </c>
      <c r="AB16" s="116">
        <v>150</v>
      </c>
      <c r="AC16" s="116">
        <v>300</v>
      </c>
      <c r="AD16" s="116">
        <v>500</v>
      </c>
      <c r="AE16" s="116">
        <v>1000</v>
      </c>
      <c r="AF16" s="116">
        <v>2000</v>
      </c>
      <c r="AG16" s="116">
        <v>4000</v>
      </c>
      <c r="AH16" s="116">
        <v>8000</v>
      </c>
      <c r="AI16" s="116">
        <v>12000</v>
      </c>
      <c r="AJ16" s="116">
        <v>15000</v>
      </c>
      <c r="AK16" s="116" t="e">
        <v>#VALUE!</v>
      </c>
      <c r="AL16" s="154"/>
      <c r="AM16" s="152" t="s">
        <v>519</v>
      </c>
      <c r="AN16" s="99">
        <v>3</v>
      </c>
    </row>
    <row r="17" spans="1:40" ht="12.75">
      <c r="A17" t="s">
        <v>62</v>
      </c>
      <c r="B17" t="s">
        <v>77</v>
      </c>
      <c r="C17" t="s">
        <v>119</v>
      </c>
      <c r="D17">
        <v>250</v>
      </c>
      <c r="E17">
        <v>30</v>
      </c>
      <c r="F17">
        <f>E17+3*Investments!$C$7+Investments!$C$16+Investments!$C$17</f>
        <v>98</v>
      </c>
      <c r="G17" t="str">
        <f>5+5*ROUNDUP(Investments!$C$7/2,0)&amp;" feet"</f>
        <v>45 feet</v>
      </c>
      <c r="H17" t="str">
        <f>"[D - 5] + "&amp;20*Investments!$C$7&amp;" seconds"</f>
        <v>[D - 5] + 300 seconds</v>
      </c>
      <c r="I17" t="str">
        <f>"+ "&amp;ROUNDUP(Investments!$C$7/3,0)</f>
        <v>+ 5</v>
      </c>
      <c r="J17" t="str">
        <f>1+Investments!$C$7&amp;"% to Strike Chance"</f>
        <v>16% to Strike Chance</v>
      </c>
      <c r="M17" s="106" t="s">
        <v>453</v>
      </c>
      <c r="N17" s="107">
        <v>600</v>
      </c>
      <c r="O17" s="107">
        <v>250</v>
      </c>
      <c r="P17" s="107">
        <v>650</v>
      </c>
      <c r="Q17" s="107">
        <v>1500</v>
      </c>
      <c r="R17" s="107">
        <v>2600</v>
      </c>
      <c r="S17" s="107">
        <v>3900</v>
      </c>
      <c r="T17" s="107">
        <v>5300</v>
      </c>
      <c r="U17" s="107">
        <v>7000</v>
      </c>
      <c r="V17" s="107">
        <v>8850</v>
      </c>
      <c r="W17" s="107">
        <v>10900</v>
      </c>
      <c r="X17" s="108">
        <v>13000</v>
      </c>
      <c r="Z17" s="122" t="s">
        <v>523</v>
      </c>
      <c r="AA17" s="116">
        <v>25</v>
      </c>
      <c r="AB17" s="116">
        <v>50</v>
      </c>
      <c r="AC17" s="116">
        <v>100</v>
      </c>
      <c r="AD17" s="116">
        <v>200</v>
      </c>
      <c r="AE17" s="116">
        <v>400</v>
      </c>
      <c r="AF17" s="116">
        <v>800</v>
      </c>
      <c r="AG17" s="116">
        <v>1500</v>
      </c>
      <c r="AH17" s="116">
        <v>3000</v>
      </c>
      <c r="AI17" s="116">
        <v>6000</v>
      </c>
      <c r="AJ17" s="116" t="e">
        <v>#VALUE!</v>
      </c>
      <c r="AK17" s="116" t="e">
        <v>#VALUE!</v>
      </c>
      <c r="AL17" s="154"/>
      <c r="AM17" s="152" t="s">
        <v>520</v>
      </c>
      <c r="AN17" s="99">
        <v>10</v>
      </c>
    </row>
    <row r="18" spans="1:40" ht="12.75">
      <c r="A18" t="s">
        <v>62</v>
      </c>
      <c r="B18" t="s">
        <v>78</v>
      </c>
      <c r="C18" t="s">
        <v>120</v>
      </c>
      <c r="D18">
        <v>150</v>
      </c>
      <c r="E18">
        <v>35</v>
      </c>
      <c r="F18">
        <f>E18+3*Investments!$C$7+Investments!$C$16+Investments!$C$17</f>
        <v>103</v>
      </c>
      <c r="G18" t="str">
        <f>15+15*ROUNDUP(Investments!$C$7/2,0)&amp;" feet"</f>
        <v>135 feet</v>
      </c>
      <c r="H18" t="str">
        <f>15+15*Investments!$C$7&amp;" minutes Max (Concentration)"</f>
        <v>240 minutes Max (Concentration)</v>
      </c>
      <c r="I18" t="s">
        <v>623</v>
      </c>
      <c r="J18" t="s">
        <v>631</v>
      </c>
      <c r="M18" s="106" t="s">
        <v>454</v>
      </c>
      <c r="N18" s="107">
        <v>300</v>
      </c>
      <c r="O18" s="107">
        <v>125</v>
      </c>
      <c r="P18" s="107">
        <v>300</v>
      </c>
      <c r="Q18" s="107">
        <v>850</v>
      </c>
      <c r="R18" s="107">
        <v>1400</v>
      </c>
      <c r="S18" s="107">
        <v>2200</v>
      </c>
      <c r="T18" s="107">
        <v>3400</v>
      </c>
      <c r="U18" s="107">
        <v>4200</v>
      </c>
      <c r="V18" s="107">
        <v>5300</v>
      </c>
      <c r="W18" s="107">
        <v>6800</v>
      </c>
      <c r="X18" s="108">
        <v>9500</v>
      </c>
      <c r="Z18" s="122" t="s">
        <v>524</v>
      </c>
      <c r="AA18" s="116">
        <v>25</v>
      </c>
      <c r="AB18" s="116">
        <v>50</v>
      </c>
      <c r="AC18" s="116">
        <v>100</v>
      </c>
      <c r="AD18" s="116">
        <v>200</v>
      </c>
      <c r="AE18" s="116">
        <v>400</v>
      </c>
      <c r="AF18" s="116">
        <v>800</v>
      </c>
      <c r="AG18" s="116" t="e">
        <v>#VALUE!</v>
      </c>
      <c r="AH18" s="116" t="e">
        <v>#VALUE!</v>
      </c>
      <c r="AI18" s="116" t="e">
        <v>#VALUE!</v>
      </c>
      <c r="AJ18" s="116" t="e">
        <v>#VALUE!</v>
      </c>
      <c r="AK18" s="116" t="e">
        <v>#VALUE!</v>
      </c>
      <c r="AL18" s="154"/>
      <c r="AM18" s="152" t="s">
        <v>572</v>
      </c>
      <c r="AN18" s="188">
        <v>8</v>
      </c>
    </row>
    <row r="19" spans="1:40" ht="12.75">
      <c r="A19" t="s">
        <v>62</v>
      </c>
      <c r="B19" t="s">
        <v>79</v>
      </c>
      <c r="C19" t="s">
        <v>121</v>
      </c>
      <c r="D19">
        <v>150</v>
      </c>
      <c r="E19">
        <v>30</v>
      </c>
      <c r="F19">
        <f>E19+3*Investments!$C$7+Investments!$C$16+Investments!$C$17</f>
        <v>98</v>
      </c>
      <c r="G19" t="str">
        <f>15+15*ROUNDUP(Investments!$C$7/2,0)&amp;" feet"</f>
        <v>135 feet</v>
      </c>
      <c r="H19" t="str">
        <f>1+1*Investments!$C$7&amp;" hours"</f>
        <v>16 hours</v>
      </c>
      <c r="I19" t="s">
        <v>623</v>
      </c>
      <c r="J19" t="str">
        <f>IF(Investments!$C$7&lt;6,"Difficulty Factor = 3",IF(Investments!$C$7&lt;11,"Difficulty Factor = 2","Difficulty Factor = 1.5"))</f>
        <v>Difficulty Factor = 1.5</v>
      </c>
      <c r="M19" s="106" t="s">
        <v>455</v>
      </c>
      <c r="N19" s="107">
        <v>300</v>
      </c>
      <c r="O19" s="107">
        <v>125</v>
      </c>
      <c r="P19" s="107">
        <v>350</v>
      </c>
      <c r="Q19" s="107">
        <v>950</v>
      </c>
      <c r="R19" s="107">
        <v>1500</v>
      </c>
      <c r="S19" s="107">
        <v>2350</v>
      </c>
      <c r="T19" s="107">
        <v>3100</v>
      </c>
      <c r="U19" s="107">
        <v>4150</v>
      </c>
      <c r="V19" s="107">
        <v>5400</v>
      </c>
      <c r="W19" s="107">
        <v>6750</v>
      </c>
      <c r="X19" s="108">
        <v>10000</v>
      </c>
      <c r="Z19" s="122" t="s">
        <v>525</v>
      </c>
      <c r="AA19" s="116">
        <v>100</v>
      </c>
      <c r="AB19" s="116">
        <v>300</v>
      </c>
      <c r="AC19" s="116">
        <v>600</v>
      </c>
      <c r="AD19" s="116">
        <v>1200</v>
      </c>
      <c r="AE19" s="116" t="e">
        <v>#VALUE!</v>
      </c>
      <c r="AF19" s="116" t="e">
        <v>#VALUE!</v>
      </c>
      <c r="AG19" s="116" t="e">
        <v>#VALUE!</v>
      </c>
      <c r="AH19" s="116" t="e">
        <v>#VALUE!</v>
      </c>
      <c r="AI19" s="116" t="e">
        <v>#VALUE!</v>
      </c>
      <c r="AJ19" s="116" t="e">
        <v>#VALUE!</v>
      </c>
      <c r="AK19" s="116" t="e">
        <v>#VALUE!</v>
      </c>
      <c r="AL19" s="154"/>
      <c r="AM19" s="152" t="s">
        <v>714</v>
      </c>
      <c r="AN19" s="99">
        <f>5/20</f>
        <v>0.25</v>
      </c>
    </row>
    <row r="20" spans="1:40" ht="12.75">
      <c r="A20" t="s">
        <v>62</v>
      </c>
      <c r="B20" t="s">
        <v>80</v>
      </c>
      <c r="C20" t="s">
        <v>122</v>
      </c>
      <c r="D20">
        <v>300</v>
      </c>
      <c r="E20">
        <v>25</v>
      </c>
      <c r="F20">
        <f>E20+3*Investments!$C$7+Investments!$C$16+Investments!$C$17</f>
        <v>93</v>
      </c>
      <c r="G20" t="str">
        <f>15+15*Investments!$C$7&amp;" feet"</f>
        <v>240 feet</v>
      </c>
      <c r="H20" t="str">
        <f>10+10*Investments!$C$7&amp;" seconds"</f>
        <v>160 seconds</v>
      </c>
      <c r="I20" t="s">
        <v>623</v>
      </c>
      <c r="J20" t="str">
        <f>Investments!$C$7&amp;" added to one spell characteristic (Range, Duration, Base Chance, OR Damage)"</f>
        <v>15 added to one spell characteristic (Range, Duration, Base Chance, OR Damage)</v>
      </c>
      <c r="M20" s="106" t="s">
        <v>456</v>
      </c>
      <c r="N20" s="107">
        <v>400</v>
      </c>
      <c r="O20" s="107">
        <v>150</v>
      </c>
      <c r="P20" s="107">
        <v>400</v>
      </c>
      <c r="Q20" s="107">
        <v>900</v>
      </c>
      <c r="R20" s="107">
        <v>1550</v>
      </c>
      <c r="S20" s="107">
        <v>2400</v>
      </c>
      <c r="T20" s="107">
        <v>3350</v>
      </c>
      <c r="U20" s="107">
        <v>4450</v>
      </c>
      <c r="V20" s="107">
        <v>5750</v>
      </c>
      <c r="W20" s="107">
        <v>7100</v>
      </c>
      <c r="X20" s="108">
        <v>10500</v>
      </c>
      <c r="Z20" s="122" t="s">
        <v>526</v>
      </c>
      <c r="AA20" s="116">
        <v>75</v>
      </c>
      <c r="AB20" s="116">
        <v>150</v>
      </c>
      <c r="AC20" s="116">
        <v>300</v>
      </c>
      <c r="AD20" s="116">
        <v>500</v>
      </c>
      <c r="AE20" s="116">
        <v>1000</v>
      </c>
      <c r="AF20" s="116">
        <v>2000</v>
      </c>
      <c r="AG20" s="116">
        <v>4000</v>
      </c>
      <c r="AH20" s="116">
        <v>8000</v>
      </c>
      <c r="AI20" s="116" t="e">
        <v>#VALUE!</v>
      </c>
      <c r="AJ20" s="116" t="e">
        <v>#VALUE!</v>
      </c>
      <c r="AK20" s="116" t="e">
        <v>#VALUE!</v>
      </c>
      <c r="AL20" s="154"/>
      <c r="AM20" s="152" t="s">
        <v>713</v>
      </c>
      <c r="AN20" s="189">
        <v>1</v>
      </c>
    </row>
    <row r="21" spans="1:40" ht="12.75">
      <c r="A21" t="s">
        <v>62</v>
      </c>
      <c r="B21" t="s">
        <v>81</v>
      </c>
      <c r="C21" t="s">
        <v>123</v>
      </c>
      <c r="D21">
        <v>125</v>
      </c>
      <c r="E21">
        <v>25</v>
      </c>
      <c r="F21">
        <f>E21+3*Investments!$C$7+Investments!$C$16+Investments!$C$17</f>
        <v>93</v>
      </c>
      <c r="G21" t="str">
        <f>15+15*Investments!$C$7&amp;" feet"</f>
        <v>240 feet</v>
      </c>
      <c r="H21" t="str">
        <f>"[D - 5] * "&amp;10*Investments!$C$7&amp;" minutes"</f>
        <v>[D - 5] * 150 minutes</v>
      </c>
      <c r="I21" t="s">
        <v>623</v>
      </c>
      <c r="J21" t="str">
        <f>15+Investments!$C$7&amp;" feet maximum hieght at 2 feet every 10 seconds"</f>
        <v>30 feet maximum hieght at 2 feet every 10 seconds</v>
      </c>
      <c r="M21" s="106" t="s">
        <v>457</v>
      </c>
      <c r="N21" s="107">
        <v>1400</v>
      </c>
      <c r="O21" s="107">
        <v>700</v>
      </c>
      <c r="P21" s="107">
        <v>1400</v>
      </c>
      <c r="Q21" s="107">
        <v>2100</v>
      </c>
      <c r="R21" s="107">
        <v>2800</v>
      </c>
      <c r="S21" s="107">
        <v>3500</v>
      </c>
      <c r="T21" s="107">
        <v>4200</v>
      </c>
      <c r="U21" s="107">
        <v>4900</v>
      </c>
      <c r="V21" s="107">
        <v>5600</v>
      </c>
      <c r="W21" s="107">
        <v>6300</v>
      </c>
      <c r="X21" s="108">
        <v>39900</v>
      </c>
      <c r="Z21" s="122" t="s">
        <v>527</v>
      </c>
      <c r="AA21" s="116">
        <v>25</v>
      </c>
      <c r="AB21" s="116">
        <v>100</v>
      </c>
      <c r="AC21" s="116">
        <v>250</v>
      </c>
      <c r="AD21" s="116">
        <v>550</v>
      </c>
      <c r="AE21" s="116">
        <v>1050</v>
      </c>
      <c r="AF21" s="116">
        <v>1750</v>
      </c>
      <c r="AG21" s="116" t="e">
        <v>#VALUE!</v>
      </c>
      <c r="AH21" s="116" t="e">
        <v>#VALUE!</v>
      </c>
      <c r="AI21" s="116" t="e">
        <v>#VALUE!</v>
      </c>
      <c r="AJ21" s="116" t="e">
        <v>#VALUE!</v>
      </c>
      <c r="AK21" s="116" t="e">
        <v>#VALUE!</v>
      </c>
      <c r="AL21" s="154"/>
      <c r="AM21" s="192" t="s">
        <v>593</v>
      </c>
      <c r="AN21" s="188">
        <v>100</v>
      </c>
    </row>
    <row r="22" spans="1:40" ht="12.75">
      <c r="A22" t="s">
        <v>62</v>
      </c>
      <c r="B22" t="s">
        <v>82</v>
      </c>
      <c r="C22" t="s">
        <v>124</v>
      </c>
      <c r="D22">
        <v>200</v>
      </c>
      <c r="E22">
        <v>20</v>
      </c>
      <c r="F22">
        <f>E22+3*Investments!$C$7+Investments!$C$16+Investments!$C$17</f>
        <v>88</v>
      </c>
      <c r="G22" t="str">
        <f>15+15*Investments!$C$7&amp;" feet"</f>
        <v>240 feet</v>
      </c>
      <c r="H22" t="str">
        <f>30+30*Investments!$C$7&amp;" minutes"</f>
        <v>480 minutes</v>
      </c>
      <c r="I22" t="s">
        <v>623</v>
      </c>
      <c r="J22" t="str">
        <f>-2*Investments!$C$7&amp;"% from attackers Strike Chance. "&amp;IF(Investments!$C$7&lt;11,""," Absorbs 1 point of damage.")</f>
        <v>-30% from attackers Strike Chance.  Absorbs 1 point of damage.</v>
      </c>
      <c r="M22" s="106" t="s">
        <v>458</v>
      </c>
      <c r="N22" s="107">
        <v>600</v>
      </c>
      <c r="O22" s="107">
        <v>250</v>
      </c>
      <c r="P22" s="107">
        <v>800</v>
      </c>
      <c r="Q22" s="107">
        <v>1400</v>
      </c>
      <c r="R22" s="107">
        <v>2400</v>
      </c>
      <c r="S22" s="107">
        <v>3600</v>
      </c>
      <c r="T22" s="107">
        <v>5000</v>
      </c>
      <c r="U22" s="107">
        <v>6600</v>
      </c>
      <c r="V22" s="107">
        <v>8400</v>
      </c>
      <c r="W22" s="107">
        <v>10400</v>
      </c>
      <c r="X22" s="108">
        <v>12600</v>
      </c>
      <c r="Z22" s="122" t="s">
        <v>528</v>
      </c>
      <c r="AA22" s="116">
        <v>50</v>
      </c>
      <c r="AB22" s="116">
        <v>100</v>
      </c>
      <c r="AC22" s="116">
        <v>200</v>
      </c>
      <c r="AD22" s="116">
        <v>400</v>
      </c>
      <c r="AE22" s="116">
        <v>600</v>
      </c>
      <c r="AF22" s="116">
        <v>800</v>
      </c>
      <c r="AG22" s="116">
        <v>1300</v>
      </c>
      <c r="AH22" s="116">
        <v>2100</v>
      </c>
      <c r="AI22" s="116">
        <v>3600</v>
      </c>
      <c r="AJ22" s="116">
        <v>6600</v>
      </c>
      <c r="AK22" s="116" t="e">
        <v>#VALUE!</v>
      </c>
      <c r="AL22" s="154"/>
      <c r="AM22" s="152" t="s">
        <v>522</v>
      </c>
      <c r="AN22" s="99">
        <v>65</v>
      </c>
    </row>
    <row r="23" spans="1:40" ht="12.75">
      <c r="A23" t="s">
        <v>62</v>
      </c>
      <c r="B23" t="s">
        <v>83</v>
      </c>
      <c r="C23" t="s">
        <v>125</v>
      </c>
      <c r="D23">
        <v>200</v>
      </c>
      <c r="E23">
        <v>20</v>
      </c>
      <c r="F23">
        <f>E23+3*Investments!$C$7+Investments!$C$16+Investments!$C$17</f>
        <v>88</v>
      </c>
      <c r="G23" t="str">
        <f>15+15*Investments!$C$7&amp;" feet"</f>
        <v>240 feet</v>
      </c>
      <c r="H23" t="str">
        <f>1+Investments!$C$7&amp;" minutes"</f>
        <v>16 minutes</v>
      </c>
      <c r="I23" t="s">
        <v>623</v>
      </c>
      <c r="M23" s="106" t="s">
        <v>459</v>
      </c>
      <c r="N23" s="107">
        <v>500</v>
      </c>
      <c r="O23" s="107">
        <v>200</v>
      </c>
      <c r="P23" s="107">
        <v>600</v>
      </c>
      <c r="Q23" s="107">
        <v>1400</v>
      </c>
      <c r="R23" s="107">
        <v>2400</v>
      </c>
      <c r="S23" s="107">
        <v>3600</v>
      </c>
      <c r="T23" s="107">
        <v>5000</v>
      </c>
      <c r="U23" s="107">
        <v>6600</v>
      </c>
      <c r="V23" s="107">
        <v>8400</v>
      </c>
      <c r="W23" s="107">
        <v>10400</v>
      </c>
      <c r="X23" s="108">
        <v>12600</v>
      </c>
      <c r="Z23" s="122" t="s">
        <v>529</v>
      </c>
      <c r="AA23" s="116">
        <v>50</v>
      </c>
      <c r="AB23" s="116">
        <v>100</v>
      </c>
      <c r="AC23" s="116">
        <v>200</v>
      </c>
      <c r="AD23" s="116">
        <v>400</v>
      </c>
      <c r="AE23" s="116">
        <v>800</v>
      </c>
      <c r="AF23" s="116">
        <v>1500</v>
      </c>
      <c r="AG23" s="116" t="e">
        <v>#VALUE!</v>
      </c>
      <c r="AH23" s="116" t="e">
        <v>#VALUE!</v>
      </c>
      <c r="AI23" s="116" t="e">
        <v>#VALUE!</v>
      </c>
      <c r="AJ23" s="116" t="e">
        <v>#VALUE!</v>
      </c>
      <c r="AK23" s="116" t="e">
        <v>#VALUE!</v>
      </c>
      <c r="AL23" s="154"/>
      <c r="AM23" s="152" t="s">
        <v>523</v>
      </c>
      <c r="AN23" s="99">
        <v>35</v>
      </c>
    </row>
    <row r="24" spans="1:40" ht="12.75">
      <c r="A24" t="s">
        <v>62</v>
      </c>
      <c r="B24" t="s">
        <v>84</v>
      </c>
      <c r="C24" t="s">
        <v>126</v>
      </c>
      <c r="D24">
        <v>300</v>
      </c>
      <c r="E24">
        <v>20</v>
      </c>
      <c r="F24">
        <f>E24+3*Investments!$C$7+Investments!$C$16+Investments!$C$17</f>
        <v>88</v>
      </c>
      <c r="G24" t="str">
        <f>15+15*Investments!$C$7&amp;" feet"</f>
        <v>240 feet</v>
      </c>
      <c r="H24" t="str">
        <f>"[D - 5] * "&amp;10*Investments!$C$7&amp;" seconds"</f>
        <v>[D - 5] * 150 seconds</v>
      </c>
      <c r="I24" t="s">
        <v>623</v>
      </c>
      <c r="J24" t="str">
        <f>1+ROUNDUP(Investments!$C$7/2,0)&amp;" Targets. Halve TMR and number of actions"</f>
        <v>9 Targets. Halve TMR and number of actions</v>
      </c>
      <c r="M24" s="106" t="s">
        <v>460</v>
      </c>
      <c r="N24" s="107">
        <v>0</v>
      </c>
      <c r="O24" s="107">
        <v>500</v>
      </c>
      <c r="P24" s="107">
        <v>1000</v>
      </c>
      <c r="Q24" s="107">
        <v>1500</v>
      </c>
      <c r="R24" s="107">
        <v>2000</v>
      </c>
      <c r="S24" s="107">
        <v>2500</v>
      </c>
      <c r="T24" s="107">
        <v>3000</v>
      </c>
      <c r="U24" s="107">
        <v>3500</v>
      </c>
      <c r="V24" s="107">
        <v>4000</v>
      </c>
      <c r="W24" s="107">
        <v>4500</v>
      </c>
      <c r="X24" s="108">
        <v>5000</v>
      </c>
      <c r="Z24" s="122" t="s">
        <v>530</v>
      </c>
      <c r="AA24" s="116">
        <v>100</v>
      </c>
      <c r="AB24" s="116">
        <v>200</v>
      </c>
      <c r="AC24" s="116">
        <v>400</v>
      </c>
      <c r="AD24" s="116">
        <v>800</v>
      </c>
      <c r="AE24" s="116">
        <v>1500</v>
      </c>
      <c r="AF24" s="116">
        <v>3300</v>
      </c>
      <c r="AG24" s="116" t="e">
        <v>#VALUE!</v>
      </c>
      <c r="AH24" s="116" t="e">
        <v>#VALUE!</v>
      </c>
      <c r="AI24" s="116" t="e">
        <v>#VALUE!</v>
      </c>
      <c r="AJ24" s="116" t="e">
        <v>#VALUE!</v>
      </c>
      <c r="AK24" s="116" t="e">
        <v>#VALUE!</v>
      </c>
      <c r="AL24" s="154"/>
      <c r="AM24" s="152" t="s">
        <v>524</v>
      </c>
      <c r="AN24" s="99">
        <v>15</v>
      </c>
    </row>
    <row r="25" spans="1:40" ht="12.75">
      <c r="A25" t="s">
        <v>62</v>
      </c>
      <c r="B25" t="s">
        <v>85</v>
      </c>
      <c r="C25" t="s">
        <v>127</v>
      </c>
      <c r="D25">
        <v>300</v>
      </c>
      <c r="E25">
        <v>20</v>
      </c>
      <c r="F25">
        <f>E25+3*Investments!$C$7+Investments!$C$16+Investments!$C$17</f>
        <v>88</v>
      </c>
      <c r="G25" t="str">
        <f>15+15*Investments!$C$7&amp;" feet"</f>
        <v>240 feet</v>
      </c>
      <c r="H25" t="str">
        <f>"[D - 5] * "&amp;10*Investments!$C$7&amp;" seconds"</f>
        <v>[D - 5] * 150 seconds</v>
      </c>
      <c r="I25" t="s">
        <v>623</v>
      </c>
      <c r="J25" t="str">
        <f>1+ROUNDUP(Investments!$C$7/3,0)&amp;" Targets. +10 to IV and double TMR and number of actions "</f>
        <v>6 Targets. +10 to IV and double TMR and number of actions </v>
      </c>
      <c r="M25" s="106" t="s">
        <v>461</v>
      </c>
      <c r="N25" s="107">
        <v>0</v>
      </c>
      <c r="O25" s="107">
        <v>125</v>
      </c>
      <c r="P25" s="107">
        <v>250</v>
      </c>
      <c r="Q25" s="107">
        <v>375</v>
      </c>
      <c r="R25" s="107">
        <v>500</v>
      </c>
      <c r="S25" s="107">
        <v>625</v>
      </c>
      <c r="T25" s="107">
        <v>750</v>
      </c>
      <c r="U25" s="107">
        <v>875</v>
      </c>
      <c r="V25" s="107">
        <v>1000</v>
      </c>
      <c r="W25" s="107">
        <v>1125</v>
      </c>
      <c r="X25" s="108">
        <v>1250</v>
      </c>
      <c r="Z25" s="122" t="s">
        <v>531</v>
      </c>
      <c r="AA25" s="116">
        <v>200</v>
      </c>
      <c r="AB25" s="116">
        <v>400</v>
      </c>
      <c r="AC25" s="116">
        <v>800</v>
      </c>
      <c r="AD25" s="116">
        <v>1500</v>
      </c>
      <c r="AE25" s="116">
        <v>3000</v>
      </c>
      <c r="AF25" s="116">
        <v>6000</v>
      </c>
      <c r="AG25" s="116">
        <v>9000</v>
      </c>
      <c r="AH25" s="116">
        <v>12000</v>
      </c>
      <c r="AI25" s="116">
        <v>15000</v>
      </c>
      <c r="AJ25" s="116" t="e">
        <v>#VALUE!</v>
      </c>
      <c r="AK25" s="116" t="e">
        <v>#VALUE!</v>
      </c>
      <c r="AL25" s="154"/>
      <c r="AM25" s="152" t="s">
        <v>525</v>
      </c>
      <c r="AN25" s="99">
        <v>3</v>
      </c>
    </row>
    <row r="26" spans="1:40" ht="12.75">
      <c r="A26" t="s">
        <v>87</v>
      </c>
      <c r="B26" t="s">
        <v>64</v>
      </c>
      <c r="C26" t="s">
        <v>128</v>
      </c>
      <c r="D26">
        <v>250</v>
      </c>
      <c r="E26" s="99" t="s">
        <v>633</v>
      </c>
      <c r="F26" s="99" t="s">
        <v>633</v>
      </c>
      <c r="G26" s="99" t="s">
        <v>634</v>
      </c>
      <c r="H26" s="99" t="s">
        <v>43</v>
      </c>
      <c r="I26" s="99" t="s">
        <v>623</v>
      </c>
      <c r="J26" t="str">
        <f>1+ROUNDUP(Investments!$C$7/5,0)&amp;" damage REDUCED from Heat or Cold based damage."</f>
        <v>4 damage REDUCED from Heat or Cold based damage.</v>
      </c>
      <c r="M26" s="106" t="s">
        <v>462</v>
      </c>
      <c r="N26" s="107">
        <v>750</v>
      </c>
      <c r="O26" s="107">
        <v>300</v>
      </c>
      <c r="P26" s="107">
        <v>1050</v>
      </c>
      <c r="Q26" s="107">
        <v>2350</v>
      </c>
      <c r="R26" s="107">
        <v>4000</v>
      </c>
      <c r="S26" s="107">
        <v>5750</v>
      </c>
      <c r="T26" s="107">
        <v>7900</v>
      </c>
      <c r="U26" s="107">
        <v>10250</v>
      </c>
      <c r="V26" s="107">
        <v>12900</v>
      </c>
      <c r="W26" s="107">
        <v>14850</v>
      </c>
      <c r="X26" s="108">
        <v>16000</v>
      </c>
      <c r="Z26" s="122" t="s">
        <v>532</v>
      </c>
      <c r="AA26" s="116">
        <v>50</v>
      </c>
      <c r="AB26" s="116">
        <v>100</v>
      </c>
      <c r="AC26" s="116">
        <v>200</v>
      </c>
      <c r="AD26" s="116">
        <v>400</v>
      </c>
      <c r="AE26" s="116">
        <v>600</v>
      </c>
      <c r="AF26" s="116">
        <v>800</v>
      </c>
      <c r="AG26" s="116">
        <v>1300</v>
      </c>
      <c r="AH26" s="116">
        <v>2100</v>
      </c>
      <c r="AI26" s="116">
        <v>3600</v>
      </c>
      <c r="AJ26" s="116">
        <v>6600</v>
      </c>
      <c r="AK26" s="116" t="e">
        <v>#VALUE!</v>
      </c>
      <c r="AL26" s="154"/>
      <c r="AM26" s="152" t="s">
        <v>526</v>
      </c>
      <c r="AN26" s="99">
        <v>50</v>
      </c>
    </row>
    <row r="27" spans="1:40" ht="12.75">
      <c r="A27" t="s">
        <v>87</v>
      </c>
      <c r="B27" t="s">
        <v>88</v>
      </c>
      <c r="C27" t="s">
        <v>129</v>
      </c>
      <c r="D27">
        <v>300</v>
      </c>
      <c r="E27" s="99" t="s">
        <v>633</v>
      </c>
      <c r="F27" s="99" t="s">
        <v>633</v>
      </c>
      <c r="G27" s="99" t="s">
        <v>634</v>
      </c>
      <c r="H27" s="99" t="s">
        <v>43</v>
      </c>
      <c r="I27" s="99" t="s">
        <v>623</v>
      </c>
      <c r="J27" t="str">
        <f>5+Investments!$C$7&amp;"% to Concentration Check.  Cannot be Stunned."</f>
        <v>20% to Concentration Check.  Cannot be Stunned.</v>
      </c>
      <c r="M27" s="106" t="s">
        <v>463</v>
      </c>
      <c r="N27" s="107">
        <v>250</v>
      </c>
      <c r="O27" s="107">
        <v>100</v>
      </c>
      <c r="P27" s="107">
        <v>200</v>
      </c>
      <c r="Q27" s="107">
        <v>500</v>
      </c>
      <c r="R27" s="107">
        <v>1050</v>
      </c>
      <c r="S27" s="107">
        <v>1450</v>
      </c>
      <c r="T27" s="107">
        <v>2100</v>
      </c>
      <c r="U27" s="107">
        <v>2800</v>
      </c>
      <c r="V27" s="107">
        <v>3900</v>
      </c>
      <c r="W27" s="107">
        <v>4600</v>
      </c>
      <c r="X27" s="108">
        <v>7000</v>
      </c>
      <c r="Z27" s="122" t="s">
        <v>533</v>
      </c>
      <c r="AA27" s="116">
        <v>150</v>
      </c>
      <c r="AB27" s="116">
        <v>200</v>
      </c>
      <c r="AC27" s="116">
        <v>300</v>
      </c>
      <c r="AD27" s="116">
        <v>500</v>
      </c>
      <c r="AE27" s="116">
        <v>1000</v>
      </c>
      <c r="AF27" s="116">
        <v>2000</v>
      </c>
      <c r="AG27" s="116">
        <v>5000</v>
      </c>
      <c r="AH27" s="116">
        <v>10000</v>
      </c>
      <c r="AI27" s="116" t="e">
        <v>#VALUE!</v>
      </c>
      <c r="AJ27" s="116" t="e">
        <v>#VALUE!</v>
      </c>
      <c r="AK27" s="116" t="e">
        <v>#VALUE!</v>
      </c>
      <c r="AL27" s="154"/>
      <c r="AM27" s="152" t="s">
        <v>527</v>
      </c>
      <c r="AN27" s="99">
        <v>10</v>
      </c>
    </row>
    <row r="28" spans="1:40" ht="12.75">
      <c r="A28" t="s">
        <v>87</v>
      </c>
      <c r="B28" t="s">
        <v>89</v>
      </c>
      <c r="C28" t="s">
        <v>130</v>
      </c>
      <c r="D28">
        <v>300</v>
      </c>
      <c r="E28" s="99" t="s">
        <v>633</v>
      </c>
      <c r="F28" s="99" t="s">
        <v>633</v>
      </c>
      <c r="G28" s="99" t="s">
        <v>634</v>
      </c>
      <c r="H28" s="99" t="s">
        <v>43</v>
      </c>
      <c r="I28" s="99" t="s">
        <v>623</v>
      </c>
      <c r="J28" t="str">
        <f>5+Investments!$C$7&amp;"% to Detect an Ambush"</f>
        <v>20% to Detect an Ambush</v>
      </c>
      <c r="M28" s="106" t="s">
        <v>464</v>
      </c>
      <c r="N28" s="107">
        <v>600</v>
      </c>
      <c r="O28" s="107">
        <v>250</v>
      </c>
      <c r="P28" s="107">
        <v>750</v>
      </c>
      <c r="Q28" s="107">
        <v>1700</v>
      </c>
      <c r="R28" s="107">
        <v>2900</v>
      </c>
      <c r="S28" s="107">
        <v>4200</v>
      </c>
      <c r="T28" s="107">
        <v>5750</v>
      </c>
      <c r="U28" s="107">
        <v>7550</v>
      </c>
      <c r="V28" s="107">
        <v>9500</v>
      </c>
      <c r="W28" s="107">
        <v>11700</v>
      </c>
      <c r="X28" s="108">
        <v>14100</v>
      </c>
      <c r="Z28" s="122" t="s">
        <v>534</v>
      </c>
      <c r="AA28" s="116">
        <v>25</v>
      </c>
      <c r="AB28" s="116">
        <v>75</v>
      </c>
      <c r="AC28" s="116">
        <v>150</v>
      </c>
      <c r="AD28" s="116">
        <v>250</v>
      </c>
      <c r="AE28" s="116">
        <v>400</v>
      </c>
      <c r="AF28" s="116" t="e">
        <v>#VALUE!</v>
      </c>
      <c r="AG28" s="116" t="e">
        <v>#VALUE!</v>
      </c>
      <c r="AH28" s="116" t="e">
        <v>#VALUE!</v>
      </c>
      <c r="AI28" s="116" t="e">
        <v>#VALUE!</v>
      </c>
      <c r="AJ28" s="116" t="e">
        <v>#VALUE!</v>
      </c>
      <c r="AK28" s="116" t="e">
        <v>#VALUE!</v>
      </c>
      <c r="AL28" s="154"/>
      <c r="AM28" s="152" t="s">
        <v>528</v>
      </c>
      <c r="AN28" s="99">
        <v>30</v>
      </c>
    </row>
    <row r="29" spans="1:40" ht="13.5" thickBot="1">
      <c r="A29" t="s">
        <v>87</v>
      </c>
      <c r="B29" t="s">
        <v>65</v>
      </c>
      <c r="C29" t="s">
        <v>131</v>
      </c>
      <c r="D29">
        <v>100</v>
      </c>
      <c r="E29">
        <v>40</v>
      </c>
      <c r="F29">
        <f>E29+3*Investments!$C$7+Investments!$C$16+Investments!$C$17</f>
        <v>108</v>
      </c>
      <c r="G29" t="str">
        <f>30+15*Investments!$C$7&amp;" feet"</f>
        <v>255 feet</v>
      </c>
      <c r="H29" t="str">
        <f>30+10*Investments!$C$7&amp;" seconds"</f>
        <v>180 seconds</v>
      </c>
      <c r="I29" t="s">
        <v>623</v>
      </c>
      <c r="M29" s="109" t="s">
        <v>465</v>
      </c>
      <c r="N29" s="110">
        <v>600</v>
      </c>
      <c r="O29" s="110">
        <v>300</v>
      </c>
      <c r="P29" s="110">
        <v>800</v>
      </c>
      <c r="Q29" s="110">
        <v>1600</v>
      </c>
      <c r="R29" s="110">
        <v>3000</v>
      </c>
      <c r="S29" s="110">
        <v>5500</v>
      </c>
      <c r="T29" s="110">
        <v>6200</v>
      </c>
      <c r="U29" s="110">
        <v>7300</v>
      </c>
      <c r="V29" s="110">
        <v>8800</v>
      </c>
      <c r="W29" s="110">
        <v>10800</v>
      </c>
      <c r="X29" s="111">
        <v>14000</v>
      </c>
      <c r="Z29" s="122" t="s">
        <v>535</v>
      </c>
      <c r="AA29" s="116">
        <v>100</v>
      </c>
      <c r="AB29" s="116">
        <v>200</v>
      </c>
      <c r="AC29" s="116">
        <v>400</v>
      </c>
      <c r="AD29" s="116">
        <v>800</v>
      </c>
      <c r="AE29" s="116">
        <v>1500</v>
      </c>
      <c r="AF29" s="116">
        <v>3000</v>
      </c>
      <c r="AG29" s="116" t="e">
        <v>#VALUE!</v>
      </c>
      <c r="AH29" s="116" t="e">
        <v>#VALUE!</v>
      </c>
      <c r="AI29" s="116" t="e">
        <v>#VALUE!</v>
      </c>
      <c r="AJ29" s="116" t="e">
        <v>#VALUE!</v>
      </c>
      <c r="AK29" s="116" t="e">
        <v>#VALUE!</v>
      </c>
      <c r="AL29" s="154"/>
      <c r="AM29" s="152" t="s">
        <v>529</v>
      </c>
      <c r="AN29" s="99">
        <v>40</v>
      </c>
    </row>
    <row r="30" spans="1:40" ht="12.75">
      <c r="A30" t="s">
        <v>87</v>
      </c>
      <c r="B30" t="s">
        <v>66</v>
      </c>
      <c r="C30" t="s">
        <v>132</v>
      </c>
      <c r="D30">
        <v>150</v>
      </c>
      <c r="E30">
        <v>20</v>
      </c>
      <c r="F30">
        <f>E30+3*Investments!$C$7+Investments!$C$16+Investments!$C$17</f>
        <v>88</v>
      </c>
      <c r="G30" s="99" t="s">
        <v>635</v>
      </c>
      <c r="H30" s="99" t="s">
        <v>629</v>
      </c>
      <c r="I30" t="s">
        <v>623</v>
      </c>
      <c r="M30" s="112" t="s">
        <v>466</v>
      </c>
      <c r="N30" s="113">
        <v>750</v>
      </c>
      <c r="O30" s="113">
        <v>300</v>
      </c>
      <c r="P30" s="113">
        <v>1050</v>
      </c>
      <c r="Q30" s="113">
        <v>2350</v>
      </c>
      <c r="R30" s="113">
        <v>4000</v>
      </c>
      <c r="S30" s="113">
        <v>5750</v>
      </c>
      <c r="T30" s="113">
        <v>7900</v>
      </c>
      <c r="U30" s="113">
        <v>10250</v>
      </c>
      <c r="V30" s="113">
        <v>12900</v>
      </c>
      <c r="W30" s="113">
        <v>14850</v>
      </c>
      <c r="X30" s="114">
        <v>16000</v>
      </c>
      <c r="Z30" s="122" t="s">
        <v>536</v>
      </c>
      <c r="AA30" s="116">
        <v>100</v>
      </c>
      <c r="AB30" s="116">
        <v>200</v>
      </c>
      <c r="AC30" s="116">
        <v>400</v>
      </c>
      <c r="AD30" s="116">
        <v>800</v>
      </c>
      <c r="AE30" s="116">
        <v>1300</v>
      </c>
      <c r="AF30" s="116">
        <v>2200</v>
      </c>
      <c r="AG30" s="116">
        <v>3900</v>
      </c>
      <c r="AH30" s="116">
        <v>5900</v>
      </c>
      <c r="AI30" s="116" t="e">
        <v>#VALUE!</v>
      </c>
      <c r="AJ30" s="116" t="e">
        <v>#VALUE!</v>
      </c>
      <c r="AK30" s="116" t="e">
        <v>#VALUE!</v>
      </c>
      <c r="AL30" s="154"/>
      <c r="AM30" s="152" t="s">
        <v>530</v>
      </c>
      <c r="AN30" s="99">
        <v>20</v>
      </c>
    </row>
    <row r="31" spans="1:40" ht="12.75">
      <c r="A31" t="s">
        <v>87</v>
      </c>
      <c r="B31" t="s">
        <v>67</v>
      </c>
      <c r="C31" t="s">
        <v>133</v>
      </c>
      <c r="D31">
        <v>250</v>
      </c>
      <c r="E31">
        <v>30</v>
      </c>
      <c r="F31">
        <f>E31+3*Investments!$C$7+Investments!$C$16+Investments!$C$17</f>
        <v>98</v>
      </c>
      <c r="G31" s="99" t="s">
        <v>634</v>
      </c>
      <c r="H31" t="str">
        <f>1+2*Investments!$C$7&amp;" hours"</f>
        <v>31 hours</v>
      </c>
      <c r="I31" t="s">
        <v>623</v>
      </c>
      <c r="J31" t="str">
        <f>10+2*Investments!$C$7&amp;"% to Resist Mental Attack."</f>
        <v>40% to Resist Mental Attack.</v>
      </c>
      <c r="M31" s="115" t="s">
        <v>467</v>
      </c>
      <c r="N31" s="116">
        <v>250</v>
      </c>
      <c r="O31" s="116">
        <v>100</v>
      </c>
      <c r="P31" s="116">
        <v>200</v>
      </c>
      <c r="Q31" s="116">
        <v>500</v>
      </c>
      <c r="R31" s="116">
        <v>950</v>
      </c>
      <c r="S31" s="116">
        <v>1450</v>
      </c>
      <c r="T31" s="116">
        <v>2050</v>
      </c>
      <c r="U31" s="116">
        <v>2800</v>
      </c>
      <c r="V31" s="116">
        <v>3600</v>
      </c>
      <c r="W31" s="116">
        <v>6300</v>
      </c>
      <c r="X31" s="117">
        <v>8000</v>
      </c>
      <c r="Z31" s="122" t="s">
        <v>537</v>
      </c>
      <c r="AA31" s="116">
        <v>100</v>
      </c>
      <c r="AB31" s="116">
        <v>200</v>
      </c>
      <c r="AC31" s="116">
        <v>400</v>
      </c>
      <c r="AD31" s="116">
        <v>900</v>
      </c>
      <c r="AE31" s="116">
        <v>2400</v>
      </c>
      <c r="AF31" s="116" t="e">
        <v>#VALUE!</v>
      </c>
      <c r="AG31" s="116" t="e">
        <v>#VALUE!</v>
      </c>
      <c r="AH31" s="116" t="e">
        <v>#VALUE!</v>
      </c>
      <c r="AI31" s="116" t="e">
        <v>#VALUE!</v>
      </c>
      <c r="AJ31" s="116" t="e">
        <v>#VALUE!</v>
      </c>
      <c r="AK31" s="116" t="e">
        <v>#VALUE!</v>
      </c>
      <c r="AL31" s="154"/>
      <c r="AM31" s="152" t="s">
        <v>531</v>
      </c>
      <c r="AN31" s="99">
        <v>80</v>
      </c>
    </row>
    <row r="32" spans="1:40" ht="12.75">
      <c r="A32" t="s">
        <v>87</v>
      </c>
      <c r="B32" t="s">
        <v>68</v>
      </c>
      <c r="C32" t="s">
        <v>134</v>
      </c>
      <c r="D32">
        <v>200</v>
      </c>
      <c r="E32">
        <v>20</v>
      </c>
      <c r="F32">
        <f>E32+3*Investments!$C$7+Investments!$C$16+Investments!$C$17</f>
        <v>88</v>
      </c>
      <c r="G32" t="str">
        <f>IF(Investments!$C$7&lt;10,"Touch",15+15*Investments!$C$7&amp;" feet")</f>
        <v>240 feet</v>
      </c>
      <c r="H32" s="99" t="s">
        <v>629</v>
      </c>
      <c r="I32" s="99" t="s">
        <v>623</v>
      </c>
      <c r="M32" s="115" t="s">
        <v>468</v>
      </c>
      <c r="N32" s="116">
        <v>250</v>
      </c>
      <c r="O32" s="116">
        <v>100</v>
      </c>
      <c r="P32" s="116">
        <v>150</v>
      </c>
      <c r="Q32" s="116">
        <v>350</v>
      </c>
      <c r="R32" s="116">
        <v>700</v>
      </c>
      <c r="S32" s="116">
        <v>950</v>
      </c>
      <c r="T32" s="116">
        <v>1500</v>
      </c>
      <c r="U32" s="116">
        <v>1850</v>
      </c>
      <c r="V32" s="116">
        <v>2500</v>
      </c>
      <c r="W32" s="116">
        <v>3200</v>
      </c>
      <c r="X32" s="117">
        <v>4000</v>
      </c>
      <c r="Z32" s="122" t="s">
        <v>538</v>
      </c>
      <c r="AA32" s="116">
        <v>100</v>
      </c>
      <c r="AB32" s="116">
        <v>200</v>
      </c>
      <c r="AC32" s="116">
        <v>400</v>
      </c>
      <c r="AD32" s="116">
        <v>800</v>
      </c>
      <c r="AE32" s="116">
        <v>1600</v>
      </c>
      <c r="AF32" s="116">
        <v>2600</v>
      </c>
      <c r="AG32" s="116" t="e">
        <v>#VALUE!</v>
      </c>
      <c r="AH32" s="116" t="e">
        <v>#VALUE!</v>
      </c>
      <c r="AI32" s="116" t="e">
        <v>#VALUE!</v>
      </c>
      <c r="AJ32" s="116" t="e">
        <v>#VALUE!</v>
      </c>
      <c r="AK32" s="116" t="e">
        <v>#VALUE!</v>
      </c>
      <c r="AL32" s="154"/>
      <c r="AM32" s="152" t="s">
        <v>532</v>
      </c>
      <c r="AN32" s="99">
        <v>15</v>
      </c>
    </row>
    <row r="33" spans="1:40" ht="12.75">
      <c r="A33" t="s">
        <v>87</v>
      </c>
      <c r="B33" t="s">
        <v>69</v>
      </c>
      <c r="C33" t="s">
        <v>135</v>
      </c>
      <c r="D33">
        <v>200</v>
      </c>
      <c r="E33">
        <v>40</v>
      </c>
      <c r="F33">
        <f>E33+3*Investments!$C$7+Investments!$C$16+Investments!$C$17</f>
        <v>108</v>
      </c>
      <c r="G33" t="str">
        <f>15+15*Investments!$C$7&amp;" feet"</f>
        <v>240 feet</v>
      </c>
      <c r="H33" s="99" t="s">
        <v>626</v>
      </c>
      <c r="I33" s="99" t="s">
        <v>623</v>
      </c>
      <c r="J33" t="str">
        <f>"Suggestions remain for "&amp;3+3*Investments!$C$7&amp;" hours after concentration is stopped."</f>
        <v>Suggestions remain for 48 hours after concentration is stopped.</v>
      </c>
      <c r="M33" s="115" t="s">
        <v>469</v>
      </c>
      <c r="N33" s="116">
        <v>600</v>
      </c>
      <c r="O33" s="116">
        <v>250</v>
      </c>
      <c r="P33" s="116">
        <v>650</v>
      </c>
      <c r="Q33" s="116">
        <v>1500</v>
      </c>
      <c r="R33" s="116">
        <v>2600</v>
      </c>
      <c r="S33" s="116">
        <v>3900</v>
      </c>
      <c r="T33" s="116">
        <v>5300</v>
      </c>
      <c r="U33" s="116">
        <v>7000</v>
      </c>
      <c r="V33" s="116">
        <v>8850</v>
      </c>
      <c r="W33" s="116">
        <v>10900</v>
      </c>
      <c r="X33" s="117">
        <v>13000</v>
      </c>
      <c r="Z33" s="122" t="s">
        <v>539</v>
      </c>
      <c r="AA33" s="116">
        <v>50</v>
      </c>
      <c r="AB33" s="116">
        <v>100</v>
      </c>
      <c r="AC33" s="116">
        <v>200</v>
      </c>
      <c r="AD33" s="116">
        <v>400</v>
      </c>
      <c r="AE33" s="116">
        <v>800</v>
      </c>
      <c r="AF33" s="116">
        <v>1600</v>
      </c>
      <c r="AG33" s="116">
        <v>3000</v>
      </c>
      <c r="AH33" s="116">
        <v>5000</v>
      </c>
      <c r="AI33" s="116">
        <v>7000</v>
      </c>
      <c r="AJ33" s="116">
        <v>9000</v>
      </c>
      <c r="AK33" s="116">
        <v>12000</v>
      </c>
      <c r="AL33" s="154"/>
      <c r="AM33" s="152" t="s">
        <v>533</v>
      </c>
      <c r="AN33" s="99">
        <v>30</v>
      </c>
    </row>
    <row r="34" spans="1:40" ht="12.75">
      <c r="A34" t="s">
        <v>87</v>
      </c>
      <c r="B34" t="s">
        <v>70</v>
      </c>
      <c r="C34" t="s">
        <v>136</v>
      </c>
      <c r="D34">
        <v>100</v>
      </c>
      <c r="E34">
        <v>40</v>
      </c>
      <c r="F34">
        <f>E34+3*Investments!$C$7+Investments!$C$16+Investments!$C$17</f>
        <v>108</v>
      </c>
      <c r="G34" t="str">
        <f>30+15*Investments!$C$7&amp;" feet"</f>
        <v>255 feet</v>
      </c>
      <c r="H34" s="99" t="s">
        <v>626</v>
      </c>
      <c r="I34" s="99" t="s">
        <v>623</v>
      </c>
      <c r="M34" s="115" t="s">
        <v>470</v>
      </c>
      <c r="N34" s="116">
        <v>600</v>
      </c>
      <c r="O34" s="116">
        <v>250</v>
      </c>
      <c r="P34" s="116">
        <v>650</v>
      </c>
      <c r="Q34" s="116">
        <v>1500</v>
      </c>
      <c r="R34" s="116">
        <v>2600</v>
      </c>
      <c r="S34" s="116">
        <v>3900</v>
      </c>
      <c r="T34" s="116">
        <v>5300</v>
      </c>
      <c r="U34" s="116">
        <v>7000</v>
      </c>
      <c r="V34" s="116">
        <v>8850</v>
      </c>
      <c r="W34" s="116">
        <v>10900</v>
      </c>
      <c r="X34" s="117">
        <v>13000</v>
      </c>
      <c r="Z34" s="122" t="s">
        <v>540</v>
      </c>
      <c r="AA34" s="116">
        <v>250</v>
      </c>
      <c r="AB34" s="116">
        <v>650</v>
      </c>
      <c r="AC34" s="116">
        <v>1350</v>
      </c>
      <c r="AD34" s="116">
        <v>2350</v>
      </c>
      <c r="AE34" s="116">
        <v>4050</v>
      </c>
      <c r="AF34" s="116">
        <v>7550</v>
      </c>
      <c r="AG34" s="116" t="e">
        <v>#VALUE!</v>
      </c>
      <c r="AH34" s="116" t="e">
        <v>#VALUE!</v>
      </c>
      <c r="AI34" s="116" t="e">
        <v>#VALUE!</v>
      </c>
      <c r="AJ34" s="116" t="e">
        <v>#VALUE!</v>
      </c>
      <c r="AK34" s="116" t="e">
        <v>#VALUE!</v>
      </c>
      <c r="AL34" s="154"/>
      <c r="AM34" s="152" t="s">
        <v>534</v>
      </c>
      <c r="AN34" s="99" t="s">
        <v>711</v>
      </c>
    </row>
    <row r="35" spans="1:40" ht="12.75">
      <c r="A35" t="s">
        <v>87</v>
      </c>
      <c r="B35" t="s">
        <v>71</v>
      </c>
      <c r="C35" t="s">
        <v>137</v>
      </c>
      <c r="D35">
        <v>650</v>
      </c>
      <c r="E35">
        <v>30</v>
      </c>
      <c r="F35">
        <f>E35+3*Investments!$C$7+Investments!$C$16+Investments!$C$17</f>
        <v>98</v>
      </c>
      <c r="G35" t="str">
        <f>30+15*Investments!$C$7&amp;" feet"</f>
        <v>255 feet</v>
      </c>
      <c r="H35" s="99" t="s">
        <v>626</v>
      </c>
      <c r="I35" s="99" t="s">
        <v>623</v>
      </c>
      <c r="J35" s="99" t="s">
        <v>636</v>
      </c>
      <c r="M35" s="115" t="s">
        <v>471</v>
      </c>
      <c r="N35" s="116">
        <v>800</v>
      </c>
      <c r="O35" s="116">
        <v>350</v>
      </c>
      <c r="P35" s="116">
        <v>1200</v>
      </c>
      <c r="Q35" s="116">
        <v>2650</v>
      </c>
      <c r="R35" s="116">
        <v>4350</v>
      </c>
      <c r="S35" s="116">
        <v>6500</v>
      </c>
      <c r="T35" s="116">
        <v>8650</v>
      </c>
      <c r="U35" s="116">
        <v>11100</v>
      </c>
      <c r="V35" s="116">
        <v>12750</v>
      </c>
      <c r="W35" s="116">
        <v>14500</v>
      </c>
      <c r="X35" s="117">
        <v>17000</v>
      </c>
      <c r="Z35" s="122" t="s">
        <v>541</v>
      </c>
      <c r="AA35" s="116">
        <v>300</v>
      </c>
      <c r="AB35" s="116">
        <v>500</v>
      </c>
      <c r="AC35" s="116">
        <v>1000</v>
      </c>
      <c r="AD35" s="116">
        <v>2000</v>
      </c>
      <c r="AE35" s="116">
        <v>4000</v>
      </c>
      <c r="AF35" s="116">
        <v>6000</v>
      </c>
      <c r="AG35" s="116">
        <v>8000</v>
      </c>
      <c r="AH35" s="116">
        <v>10000</v>
      </c>
      <c r="AI35" s="116">
        <v>13000</v>
      </c>
      <c r="AJ35" s="116" t="e">
        <v>#VALUE!</v>
      </c>
      <c r="AK35" s="116" t="e">
        <v>#VALUE!</v>
      </c>
      <c r="AL35" s="154"/>
      <c r="AM35" s="152" t="s">
        <v>535</v>
      </c>
      <c r="AN35" s="99">
        <v>15</v>
      </c>
    </row>
    <row r="36" spans="1:40" ht="12.75">
      <c r="A36" t="s">
        <v>87</v>
      </c>
      <c r="B36" t="s">
        <v>74</v>
      </c>
      <c r="C36" t="s">
        <v>138</v>
      </c>
      <c r="D36">
        <v>350</v>
      </c>
      <c r="E36">
        <v>25</v>
      </c>
      <c r="F36">
        <f>E36+3*Investments!$C$7+Investments!$C$16+Investments!$C$17</f>
        <v>93</v>
      </c>
      <c r="G36" t="str">
        <f>15+15*Investments!$C$7&amp;" feet"</f>
        <v>240 feet</v>
      </c>
      <c r="H36" t="str">
        <f>10+10*Investments!$C$7&amp;" seconds"</f>
        <v>160 seconds</v>
      </c>
      <c r="I36" s="99" t="s">
        <v>623</v>
      </c>
      <c r="J36" t="str">
        <f>"Target unconscious if fails to resist."&amp;IF(Investments!$C$7&lt;15,""," Also loses [D-5] from WP on failed resistance.")</f>
        <v>Target unconscious if fails to resist. Also loses [D-5] from WP on failed resistance.</v>
      </c>
      <c r="M36" s="115" t="s">
        <v>472</v>
      </c>
      <c r="N36" s="116">
        <v>600</v>
      </c>
      <c r="O36" s="116">
        <v>250</v>
      </c>
      <c r="P36" s="116">
        <v>650</v>
      </c>
      <c r="Q36" s="116">
        <v>1500</v>
      </c>
      <c r="R36" s="116">
        <v>2600</v>
      </c>
      <c r="S36" s="116">
        <v>3900</v>
      </c>
      <c r="T36" s="116">
        <v>5300</v>
      </c>
      <c r="U36" s="116">
        <v>7000</v>
      </c>
      <c r="V36" s="116">
        <v>8850</v>
      </c>
      <c r="W36" s="116">
        <v>10900</v>
      </c>
      <c r="X36" s="117">
        <v>13000</v>
      </c>
      <c r="Z36" s="122" t="s">
        <v>542</v>
      </c>
      <c r="AA36" s="116">
        <v>50</v>
      </c>
      <c r="AB36" s="116">
        <v>100</v>
      </c>
      <c r="AC36" s="116">
        <v>200</v>
      </c>
      <c r="AD36" s="116">
        <v>400</v>
      </c>
      <c r="AE36" s="116">
        <v>800</v>
      </c>
      <c r="AF36" s="116">
        <v>1500</v>
      </c>
      <c r="AG36" s="116" t="e">
        <v>#VALUE!</v>
      </c>
      <c r="AH36" s="116" t="e">
        <v>#VALUE!</v>
      </c>
      <c r="AI36" s="116" t="e">
        <v>#VALUE!</v>
      </c>
      <c r="AJ36" s="116" t="e">
        <v>#VALUE!</v>
      </c>
      <c r="AK36" s="116" t="e">
        <v>#VALUE!</v>
      </c>
      <c r="AL36" s="154"/>
      <c r="AM36" s="152" t="s">
        <v>573</v>
      </c>
      <c r="AN36" s="188">
        <v>3</v>
      </c>
    </row>
    <row r="37" spans="1:40" ht="12.75">
      <c r="A37" t="s">
        <v>87</v>
      </c>
      <c r="B37" t="s">
        <v>75</v>
      </c>
      <c r="C37" t="s">
        <v>139</v>
      </c>
      <c r="D37">
        <v>550</v>
      </c>
      <c r="E37">
        <v>10</v>
      </c>
      <c r="F37">
        <f>E37+3*Investments!$C$7+Investments!$C$16+Investments!$C$17</f>
        <v>78</v>
      </c>
      <c r="G37" t="str">
        <f>30+30*Investments!$C$7&amp;" feet"</f>
        <v>480 feet</v>
      </c>
      <c r="H37" t="str">
        <f>10+10*Investments!$C$7&amp;" minutes"</f>
        <v>160 minutes</v>
      </c>
      <c r="I37" t="s">
        <v>623</v>
      </c>
      <c r="M37" s="115" t="s">
        <v>473</v>
      </c>
      <c r="N37" s="116">
        <v>600</v>
      </c>
      <c r="O37" s="116">
        <v>250</v>
      </c>
      <c r="P37" s="116">
        <v>650</v>
      </c>
      <c r="Q37" s="116">
        <v>1500</v>
      </c>
      <c r="R37" s="116">
        <v>2600</v>
      </c>
      <c r="S37" s="116">
        <v>3900</v>
      </c>
      <c r="T37" s="116">
        <v>5300</v>
      </c>
      <c r="U37" s="116">
        <v>7000</v>
      </c>
      <c r="V37" s="116">
        <v>8850</v>
      </c>
      <c r="W37" s="116">
        <v>10900</v>
      </c>
      <c r="X37" s="117">
        <v>13000</v>
      </c>
      <c r="Z37" s="122" t="s">
        <v>543</v>
      </c>
      <c r="AA37" s="116">
        <v>50</v>
      </c>
      <c r="AB37" s="116">
        <v>100</v>
      </c>
      <c r="AC37" s="116">
        <v>200</v>
      </c>
      <c r="AD37" s="116">
        <v>400</v>
      </c>
      <c r="AE37" s="116">
        <v>800</v>
      </c>
      <c r="AF37" s="116">
        <v>1900</v>
      </c>
      <c r="AG37" s="116">
        <v>3400</v>
      </c>
      <c r="AH37" s="116">
        <v>6400</v>
      </c>
      <c r="AI37" s="116">
        <v>9400</v>
      </c>
      <c r="AJ37" s="116">
        <v>12400</v>
      </c>
      <c r="AK37" s="116">
        <v>16400</v>
      </c>
      <c r="AL37" s="154"/>
      <c r="AM37" s="152" t="s">
        <v>536</v>
      </c>
      <c r="AN37" s="99">
        <v>85</v>
      </c>
    </row>
    <row r="38" spans="1:40" ht="12.75">
      <c r="A38" t="s">
        <v>87</v>
      </c>
      <c r="B38" t="s">
        <v>76</v>
      </c>
      <c r="C38" t="s">
        <v>140</v>
      </c>
      <c r="D38">
        <v>400</v>
      </c>
      <c r="E38">
        <v>1</v>
      </c>
      <c r="F38">
        <f>E38+3*Investments!$C$7+Investments!$C$16+Investments!$C$17</f>
        <v>69</v>
      </c>
      <c r="G38" t="s">
        <v>635</v>
      </c>
      <c r="H38" t="s">
        <v>626</v>
      </c>
      <c r="I38" t="s">
        <v>623</v>
      </c>
      <c r="J38" t="str">
        <f>20+5*ROUNDDOWN(Investments!$C$7/3,0)&amp;" combined EN/FT.  Does [D-4] + "&amp;Investments!$C$7&amp;" damage per pulse."</f>
        <v>45 combined EN/FT.  Does [D-4] + 15 damage per pulse.</v>
      </c>
      <c r="M38" s="115" t="s">
        <v>474</v>
      </c>
      <c r="N38" s="116">
        <v>200</v>
      </c>
      <c r="O38" s="116">
        <v>400</v>
      </c>
      <c r="P38" s="116">
        <v>400</v>
      </c>
      <c r="Q38" s="116">
        <v>1200</v>
      </c>
      <c r="R38" s="116">
        <v>2400</v>
      </c>
      <c r="S38" s="116">
        <v>3600</v>
      </c>
      <c r="T38" s="116">
        <v>5400</v>
      </c>
      <c r="U38" s="116">
        <v>7200</v>
      </c>
      <c r="V38" s="116">
        <v>9000</v>
      </c>
      <c r="W38" s="116">
        <v>12000</v>
      </c>
      <c r="X38" s="117">
        <v>15000</v>
      </c>
      <c r="Z38" s="122" t="s">
        <v>544</v>
      </c>
      <c r="AA38" s="116">
        <v>50</v>
      </c>
      <c r="AB38" s="116">
        <v>100</v>
      </c>
      <c r="AC38" s="116">
        <v>200</v>
      </c>
      <c r="AD38" s="116">
        <v>400</v>
      </c>
      <c r="AE38" s="116">
        <v>800</v>
      </c>
      <c r="AF38" s="116">
        <v>1500</v>
      </c>
      <c r="AG38" s="116" t="e">
        <v>#VALUE!</v>
      </c>
      <c r="AH38" s="116" t="e">
        <v>#VALUE!</v>
      </c>
      <c r="AI38" s="116" t="e">
        <v>#VALUE!</v>
      </c>
      <c r="AJ38" s="116" t="e">
        <v>#VALUE!</v>
      </c>
      <c r="AK38" s="116" t="e">
        <v>#VALUE!</v>
      </c>
      <c r="AL38" s="154"/>
      <c r="AM38" s="152" t="s">
        <v>537</v>
      </c>
      <c r="AN38" s="99">
        <v>15</v>
      </c>
    </row>
    <row r="39" spans="1:40" ht="12.75">
      <c r="A39" t="s">
        <v>87</v>
      </c>
      <c r="B39" t="s">
        <v>77</v>
      </c>
      <c r="C39" t="s">
        <v>141</v>
      </c>
      <c r="D39">
        <v>400</v>
      </c>
      <c r="E39">
        <v>1</v>
      </c>
      <c r="F39">
        <f>E39+3*Investments!$C$7+Investments!$C$16+Investments!$C$17</f>
        <v>69</v>
      </c>
      <c r="G39" t="str">
        <f>15+15*Investments!$C$7&amp;" feet"</f>
        <v>240 feet</v>
      </c>
      <c r="H39" t="s">
        <v>629</v>
      </c>
      <c r="I39" t="str">
        <f>"[D+1] + "&amp;Investments!$C$7</f>
        <v>[D+1] + 15</v>
      </c>
      <c r="J39" t="s">
        <v>637</v>
      </c>
      <c r="M39" s="115" t="s">
        <v>475</v>
      </c>
      <c r="N39" s="116">
        <v>0</v>
      </c>
      <c r="O39" s="116">
        <v>500</v>
      </c>
      <c r="P39" s="116">
        <v>500</v>
      </c>
      <c r="Q39" s="116">
        <v>1000</v>
      </c>
      <c r="R39" s="116">
        <v>2000</v>
      </c>
      <c r="S39" s="116">
        <v>2000</v>
      </c>
      <c r="T39" s="116">
        <v>6000</v>
      </c>
      <c r="U39" s="116">
        <v>9000</v>
      </c>
      <c r="V39" s="116">
        <v>12000</v>
      </c>
      <c r="W39" s="116">
        <v>18000</v>
      </c>
      <c r="X39" s="117">
        <v>24000</v>
      </c>
      <c r="Z39" s="122" t="s">
        <v>545</v>
      </c>
      <c r="AA39" s="116">
        <v>100</v>
      </c>
      <c r="AB39" s="116">
        <v>200</v>
      </c>
      <c r="AC39" s="116">
        <v>400</v>
      </c>
      <c r="AD39" s="116">
        <v>800</v>
      </c>
      <c r="AE39" s="116">
        <v>1500</v>
      </c>
      <c r="AF39" s="116">
        <v>3300</v>
      </c>
      <c r="AG39" s="116" t="e">
        <v>#VALUE!</v>
      </c>
      <c r="AH39" s="116" t="e">
        <v>#VALUE!</v>
      </c>
      <c r="AI39" s="116" t="e">
        <v>#VALUE!</v>
      </c>
      <c r="AJ39" s="116" t="e">
        <v>#VALUE!</v>
      </c>
      <c r="AK39" s="116" t="e">
        <v>#VALUE!</v>
      </c>
      <c r="AL39" s="154"/>
      <c r="AM39" s="152" t="s">
        <v>574</v>
      </c>
      <c r="AN39" s="188">
        <v>20</v>
      </c>
    </row>
    <row r="40" spans="1:40" ht="12.75">
      <c r="A40" t="s">
        <v>87</v>
      </c>
      <c r="B40" t="s">
        <v>78</v>
      </c>
      <c r="C40" t="s">
        <v>142</v>
      </c>
      <c r="D40">
        <v>1000</v>
      </c>
      <c r="E40">
        <v>1</v>
      </c>
      <c r="F40">
        <f>E40+3*Investments!$C$7+Investments!$C$16+Investments!$C$17</f>
        <v>69</v>
      </c>
      <c r="G40" t="str">
        <f>15+15*Investments!$C$7&amp;" feet"</f>
        <v>240 feet</v>
      </c>
      <c r="H40" t="str">
        <f>10+10*Investments!$C$7&amp;" minutes"</f>
        <v>160 minutes</v>
      </c>
      <c r="I40" t="s">
        <v>623</v>
      </c>
      <c r="M40" s="115" t="s">
        <v>476</v>
      </c>
      <c r="N40" s="116">
        <v>250</v>
      </c>
      <c r="O40" s="116">
        <v>200</v>
      </c>
      <c r="P40" s="116">
        <v>400</v>
      </c>
      <c r="Q40" s="116">
        <v>800</v>
      </c>
      <c r="R40" s="116">
        <v>1600</v>
      </c>
      <c r="S40" s="116">
        <v>3200</v>
      </c>
      <c r="T40" s="116">
        <v>4000</v>
      </c>
      <c r="U40" s="116">
        <v>6000</v>
      </c>
      <c r="V40" s="116">
        <v>9000</v>
      </c>
      <c r="W40" s="116">
        <v>12000</v>
      </c>
      <c r="X40" s="117">
        <v>18000</v>
      </c>
      <c r="Z40" s="122" t="s">
        <v>546</v>
      </c>
      <c r="AA40" s="116">
        <v>150</v>
      </c>
      <c r="AB40" s="116">
        <v>300</v>
      </c>
      <c r="AC40" s="116">
        <v>600</v>
      </c>
      <c r="AD40" s="116">
        <v>1200</v>
      </c>
      <c r="AE40" s="116">
        <v>2500</v>
      </c>
      <c r="AF40" s="116" t="e">
        <v>#VALUE!</v>
      </c>
      <c r="AG40" s="116" t="e">
        <v>#VALUE!</v>
      </c>
      <c r="AH40" s="116" t="e">
        <v>#VALUE!</v>
      </c>
      <c r="AI40" s="116" t="e">
        <v>#VALUE!</v>
      </c>
      <c r="AJ40" s="116" t="e">
        <v>#VALUE!</v>
      </c>
      <c r="AK40" s="116" t="e">
        <v>#VALUE!</v>
      </c>
      <c r="AL40" s="154"/>
      <c r="AM40" s="152" t="s">
        <v>538</v>
      </c>
      <c r="AN40" s="189">
        <v>20</v>
      </c>
    </row>
    <row r="41" spans="1:40" ht="12.75">
      <c r="A41" t="s">
        <v>87</v>
      </c>
      <c r="B41" t="s">
        <v>79</v>
      </c>
      <c r="C41" t="s">
        <v>143</v>
      </c>
      <c r="D41">
        <v>250</v>
      </c>
      <c r="E41">
        <v>40</v>
      </c>
      <c r="F41">
        <f>E41+3*Investments!$C$7+Investments!$C$16+Investments!$C$17</f>
        <v>108</v>
      </c>
      <c r="G41" t="s">
        <v>635</v>
      </c>
      <c r="H41" t="str">
        <f>10+10*Investments!$C$7&amp;" minutes"</f>
        <v>160 minutes</v>
      </c>
      <c r="I41" t="s">
        <v>623</v>
      </c>
      <c r="J41" t="str">
        <f>5+Investments!$C$7&amp;"% to Defense."</f>
        <v>20% to Defense.</v>
      </c>
      <c r="M41" s="115" t="s">
        <v>477</v>
      </c>
      <c r="N41" s="116">
        <v>1000</v>
      </c>
      <c r="O41" s="116">
        <v>400</v>
      </c>
      <c r="P41" s="116">
        <v>1200</v>
      </c>
      <c r="Q41" s="116">
        <v>3200</v>
      </c>
      <c r="R41" s="116">
        <v>4800</v>
      </c>
      <c r="S41" s="116">
        <v>6000</v>
      </c>
      <c r="T41" s="116">
        <v>9000</v>
      </c>
      <c r="U41" s="116">
        <v>12000</v>
      </c>
      <c r="V41" s="116">
        <v>16000</v>
      </c>
      <c r="W41" s="116">
        <v>22000</v>
      </c>
      <c r="X41" s="117">
        <v>28000</v>
      </c>
      <c r="Z41" s="122" t="s">
        <v>547</v>
      </c>
      <c r="AA41" s="116">
        <v>200</v>
      </c>
      <c r="AB41" s="116">
        <v>400</v>
      </c>
      <c r="AC41" s="116">
        <v>800</v>
      </c>
      <c r="AD41" s="116">
        <v>1500</v>
      </c>
      <c r="AE41" s="116">
        <v>3000</v>
      </c>
      <c r="AF41" s="116">
        <v>6000</v>
      </c>
      <c r="AG41" s="116" t="e">
        <v>#VALUE!</v>
      </c>
      <c r="AH41" s="116" t="e">
        <v>#VALUE!</v>
      </c>
      <c r="AI41" s="116" t="e">
        <v>#VALUE!</v>
      </c>
      <c r="AJ41" s="116" t="e">
        <v>#VALUE!</v>
      </c>
      <c r="AK41" s="116" t="e">
        <v>#VALUE!</v>
      </c>
      <c r="AL41" s="154"/>
      <c r="AM41" s="152" t="s">
        <v>539</v>
      </c>
      <c r="AN41" s="99">
        <v>4</v>
      </c>
    </row>
    <row r="42" spans="1:40" ht="12.75">
      <c r="A42" t="s">
        <v>87</v>
      </c>
      <c r="B42" t="s">
        <v>80</v>
      </c>
      <c r="C42" t="s">
        <v>144</v>
      </c>
      <c r="D42">
        <v>375</v>
      </c>
      <c r="E42">
        <v>40</v>
      </c>
      <c r="F42">
        <f>E42+3*Investments!$C$7+Investments!$C$16+Investments!$C$17</f>
        <v>108</v>
      </c>
      <c r="G42" t="s">
        <v>638</v>
      </c>
      <c r="H42" t="s">
        <v>629</v>
      </c>
      <c r="I42" t="s">
        <v>623</v>
      </c>
      <c r="J42" t="str">
        <f>"Heals "&amp;Investments!$C$7+2&amp;" points of FT or EN."</f>
        <v>Heals 17 points of FT or EN.</v>
      </c>
      <c r="M42" s="115" t="s">
        <v>478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7"/>
      <c r="Z42" s="122" t="s">
        <v>548</v>
      </c>
      <c r="AA42" s="116">
        <v>100</v>
      </c>
      <c r="AB42" s="116">
        <v>200</v>
      </c>
      <c r="AC42" s="116">
        <v>400</v>
      </c>
      <c r="AD42" s="116">
        <v>800</v>
      </c>
      <c r="AE42" s="116">
        <v>1500</v>
      </c>
      <c r="AF42" s="116">
        <v>3000</v>
      </c>
      <c r="AG42" s="116" t="e">
        <v>#VALUE!</v>
      </c>
      <c r="AH42" s="116" t="e">
        <v>#VALUE!</v>
      </c>
      <c r="AI42" s="116" t="e">
        <v>#VALUE!</v>
      </c>
      <c r="AJ42" s="116" t="e">
        <v>#VALUE!</v>
      </c>
      <c r="AK42" s="116" t="e">
        <v>#VALUE!</v>
      </c>
      <c r="AL42" s="154"/>
      <c r="AM42" s="152" t="s">
        <v>902</v>
      </c>
      <c r="AN42" s="99">
        <v>2</v>
      </c>
    </row>
    <row r="43" spans="1:40" ht="12.75">
      <c r="A43" t="s">
        <v>87</v>
      </c>
      <c r="B43" t="s">
        <v>81</v>
      </c>
      <c r="C43" t="s">
        <v>145</v>
      </c>
      <c r="D43">
        <v>450</v>
      </c>
      <c r="E43">
        <v>15</v>
      </c>
      <c r="F43">
        <f>E43+3*Investments!$C$7+Investments!$C$16+Investments!$C$17</f>
        <v>83</v>
      </c>
      <c r="G43" t="str">
        <f>15+15*Investments!$C$7&amp;" feet"</f>
        <v>240 feet</v>
      </c>
      <c r="H43" t="str">
        <f>10+10*Investments!$C$7&amp;" minutes"</f>
        <v>160 minutes</v>
      </c>
      <c r="I43" t="s">
        <v>623</v>
      </c>
      <c r="J43" t="s">
        <v>639</v>
      </c>
      <c r="M43" s="115" t="s">
        <v>479</v>
      </c>
      <c r="N43" s="116">
        <v>250</v>
      </c>
      <c r="O43" s="116">
        <v>100</v>
      </c>
      <c r="P43" s="116">
        <v>150</v>
      </c>
      <c r="Q43" s="116">
        <v>350</v>
      </c>
      <c r="R43" s="116">
        <v>700</v>
      </c>
      <c r="S43" s="116">
        <v>950</v>
      </c>
      <c r="T43" s="116">
        <v>1500</v>
      </c>
      <c r="U43" s="116">
        <v>1850</v>
      </c>
      <c r="V43" s="116">
        <v>2500</v>
      </c>
      <c r="W43" s="116">
        <v>3200</v>
      </c>
      <c r="X43" s="117">
        <v>4000</v>
      </c>
      <c r="Z43" s="122" t="s">
        <v>549</v>
      </c>
      <c r="AA43" s="116">
        <v>75</v>
      </c>
      <c r="AB43" s="116">
        <v>150</v>
      </c>
      <c r="AC43" s="116">
        <v>300</v>
      </c>
      <c r="AD43" s="116">
        <v>500</v>
      </c>
      <c r="AE43" s="116">
        <v>1000</v>
      </c>
      <c r="AF43" s="116">
        <v>2000</v>
      </c>
      <c r="AG43" s="116">
        <v>4000</v>
      </c>
      <c r="AH43" s="116">
        <v>8000</v>
      </c>
      <c r="AI43" s="116">
        <v>12000</v>
      </c>
      <c r="AJ43" s="116">
        <v>15000</v>
      </c>
      <c r="AK43" s="116" t="e">
        <v>#VALUE!</v>
      </c>
      <c r="AL43" s="154"/>
      <c r="AM43" s="152" t="s">
        <v>575</v>
      </c>
      <c r="AN43" s="188">
        <v>65</v>
      </c>
    </row>
    <row r="44" spans="1:40" ht="12.75">
      <c r="A44" t="s">
        <v>87</v>
      </c>
      <c r="B44" t="s">
        <v>82</v>
      </c>
      <c r="C44" t="s">
        <v>146</v>
      </c>
      <c r="D44">
        <v>250</v>
      </c>
      <c r="E44">
        <v>25</v>
      </c>
      <c r="F44">
        <f>E44+3*Investments!$C$7+Investments!$C$16+Investments!$C$17</f>
        <v>93</v>
      </c>
      <c r="G44" t="str">
        <f>15+15*Investments!$C$7&amp;" feet"</f>
        <v>240 feet</v>
      </c>
      <c r="H44" t="str">
        <f>10+10*Investments!$C$7&amp;" minutes"</f>
        <v>160 minutes</v>
      </c>
      <c r="I44" t="s">
        <v>623</v>
      </c>
      <c r="J44" t="str">
        <f>2+5*Investments!$C$7&amp;" pounds at 1 MPH OR 2 pounds at "&amp;1+2*Investments!$C$7&amp;" MPH"</f>
        <v>77 pounds at 1 MPH OR 2 pounds at 31 MPH</v>
      </c>
      <c r="M44" s="115" t="s">
        <v>480</v>
      </c>
      <c r="N44" s="116">
        <v>750</v>
      </c>
      <c r="O44" s="116">
        <v>300</v>
      </c>
      <c r="P44" s="116">
        <v>1050</v>
      </c>
      <c r="Q44" s="116">
        <v>2350</v>
      </c>
      <c r="R44" s="116">
        <v>4000</v>
      </c>
      <c r="S44" s="116">
        <v>5750</v>
      </c>
      <c r="T44" s="116">
        <v>7900</v>
      </c>
      <c r="U44" s="116">
        <v>10250</v>
      </c>
      <c r="V44" s="116">
        <v>12900</v>
      </c>
      <c r="W44" s="116">
        <v>14850</v>
      </c>
      <c r="X44" s="117">
        <v>16000</v>
      </c>
      <c r="Z44" s="122" t="s">
        <v>550</v>
      </c>
      <c r="AA44" s="116">
        <v>200</v>
      </c>
      <c r="AB44" s="116">
        <v>400</v>
      </c>
      <c r="AC44" s="116">
        <v>600</v>
      </c>
      <c r="AD44" s="116">
        <v>800</v>
      </c>
      <c r="AE44" s="116">
        <v>1000</v>
      </c>
      <c r="AF44" s="116">
        <v>1500</v>
      </c>
      <c r="AG44" s="116">
        <v>2000</v>
      </c>
      <c r="AH44" s="116">
        <v>4000</v>
      </c>
      <c r="AI44" s="116">
        <v>8000</v>
      </c>
      <c r="AJ44" s="116">
        <v>12000</v>
      </c>
      <c r="AK44" s="116">
        <v>15000</v>
      </c>
      <c r="AL44" s="154"/>
      <c r="AM44" s="152" t="s">
        <v>576</v>
      </c>
      <c r="AN44" s="190">
        <v>15</v>
      </c>
    </row>
    <row r="45" spans="1:40" ht="12.75">
      <c r="A45" t="s">
        <v>87</v>
      </c>
      <c r="B45" t="s">
        <v>83</v>
      </c>
      <c r="C45" t="s">
        <v>147</v>
      </c>
      <c r="D45">
        <v>750</v>
      </c>
      <c r="E45">
        <v>1</v>
      </c>
      <c r="F45">
        <f>E45+3*Investments!$C$7+Investments!$C$16+Investments!$C$17</f>
        <v>69</v>
      </c>
      <c r="G45" t="str">
        <f>30+5*Investments!$C$7&amp;" feet"</f>
        <v>105 feet</v>
      </c>
      <c r="H45" t="str">
        <f>60+10*Investments!$C$7&amp;" minutes Max (Concentration)"</f>
        <v>210 minutes Max (Concentration)</v>
      </c>
      <c r="I45" t="s">
        <v>640</v>
      </c>
      <c r="M45" s="115" t="s">
        <v>481</v>
      </c>
      <c r="N45" s="116">
        <v>200</v>
      </c>
      <c r="O45" s="116">
        <v>100</v>
      </c>
      <c r="P45" s="116">
        <v>200</v>
      </c>
      <c r="Q45" s="116">
        <v>450</v>
      </c>
      <c r="R45" s="116">
        <v>500</v>
      </c>
      <c r="S45" s="116">
        <v>1000</v>
      </c>
      <c r="T45" s="116">
        <v>1500</v>
      </c>
      <c r="U45" s="116">
        <v>2000</v>
      </c>
      <c r="V45" s="116">
        <v>2500</v>
      </c>
      <c r="W45" s="116">
        <v>3000</v>
      </c>
      <c r="X45" s="117">
        <v>3500</v>
      </c>
      <c r="Z45" s="122" t="s">
        <v>551</v>
      </c>
      <c r="AA45" s="116">
        <v>25</v>
      </c>
      <c r="AB45" s="116">
        <v>50</v>
      </c>
      <c r="AC45" s="116">
        <v>150</v>
      </c>
      <c r="AD45" s="116">
        <v>300</v>
      </c>
      <c r="AE45" s="116">
        <v>500</v>
      </c>
      <c r="AF45" s="116">
        <v>800</v>
      </c>
      <c r="AG45" s="116">
        <v>1300</v>
      </c>
      <c r="AH45" s="116" t="e">
        <v>#VALUE!</v>
      </c>
      <c r="AI45" s="116" t="e">
        <v>#VALUE!</v>
      </c>
      <c r="AJ45" s="116" t="e">
        <v>#VALUE!</v>
      </c>
      <c r="AK45" s="116" t="e">
        <v>#VALUE!</v>
      </c>
      <c r="AL45" s="154"/>
      <c r="AM45" s="152" t="s">
        <v>592</v>
      </c>
      <c r="AN45" s="99">
        <v>15</v>
      </c>
    </row>
    <row r="46" spans="1:40" ht="12.75">
      <c r="A46" t="s">
        <v>91</v>
      </c>
      <c r="B46" t="s">
        <v>64</v>
      </c>
      <c r="C46" t="s">
        <v>148</v>
      </c>
      <c r="D46">
        <v>200</v>
      </c>
      <c r="F46" s="138" t="str">
        <f>"PC + "&amp;5*Investments!$C$7+Investments!$C$16+Investments!$C$17</f>
        <v>PC + 98</v>
      </c>
      <c r="G46" t="s">
        <v>622</v>
      </c>
      <c r="H46" t="s">
        <v>623</v>
      </c>
      <c r="I46" t="s">
        <v>623</v>
      </c>
      <c r="M46" s="115" t="s">
        <v>482</v>
      </c>
      <c r="N46" s="116">
        <v>125</v>
      </c>
      <c r="O46" s="116">
        <v>125</v>
      </c>
      <c r="P46" s="116">
        <v>250</v>
      </c>
      <c r="Q46" s="116">
        <v>375</v>
      </c>
      <c r="R46" s="116">
        <v>500</v>
      </c>
      <c r="S46" s="116">
        <v>625</v>
      </c>
      <c r="T46" s="116">
        <v>750</v>
      </c>
      <c r="U46" s="116">
        <v>875</v>
      </c>
      <c r="V46" s="116">
        <v>1000</v>
      </c>
      <c r="W46" s="116">
        <v>1125</v>
      </c>
      <c r="X46" s="117">
        <v>1250</v>
      </c>
      <c r="Z46" s="122" t="s">
        <v>552</v>
      </c>
      <c r="AA46" s="116">
        <v>150</v>
      </c>
      <c r="AB46" s="116">
        <v>300</v>
      </c>
      <c r="AC46" s="116">
        <v>500</v>
      </c>
      <c r="AD46" s="116">
        <v>1000</v>
      </c>
      <c r="AE46" s="116">
        <v>2000</v>
      </c>
      <c r="AF46" s="116">
        <v>4000</v>
      </c>
      <c r="AG46" s="116">
        <v>6000</v>
      </c>
      <c r="AH46" s="116">
        <v>8000</v>
      </c>
      <c r="AI46" s="116" t="e">
        <v>#VALUE!</v>
      </c>
      <c r="AJ46" s="116" t="e">
        <v>#VALUE!</v>
      </c>
      <c r="AK46" s="116" t="e">
        <v>#VALUE!</v>
      </c>
      <c r="AL46" s="154"/>
      <c r="AM46" s="152" t="s">
        <v>577</v>
      </c>
      <c r="AN46" s="188">
        <v>65</v>
      </c>
    </row>
    <row r="47" spans="1:40" ht="12.75">
      <c r="A47" t="s">
        <v>91</v>
      </c>
      <c r="B47" t="s">
        <v>88</v>
      </c>
      <c r="C47" t="s">
        <v>149</v>
      </c>
      <c r="D47">
        <v>150</v>
      </c>
      <c r="F47" t="s">
        <v>633</v>
      </c>
      <c r="G47" t="str">
        <f>15+15*Investments!$C$7&amp;" feet"</f>
        <v>240 feet</v>
      </c>
      <c r="H47" t="s">
        <v>626</v>
      </c>
      <c r="I47" t="s">
        <v>623</v>
      </c>
      <c r="J47" t="str">
        <f>"Takes "&amp;10-Investments!$C$7&amp;" seconds to become invisible."</f>
        <v>Takes -5 seconds to become invisible.</v>
      </c>
      <c r="M47" s="115" t="s">
        <v>483</v>
      </c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7"/>
      <c r="Z47" s="122" t="s">
        <v>553</v>
      </c>
      <c r="AA47" s="116">
        <v>25</v>
      </c>
      <c r="AB47" s="116">
        <v>100</v>
      </c>
      <c r="AC47" s="116">
        <v>250</v>
      </c>
      <c r="AD47" s="116">
        <v>500</v>
      </c>
      <c r="AE47" s="116" t="e">
        <v>#VALUE!</v>
      </c>
      <c r="AF47" s="116" t="e">
        <v>#VALUE!</v>
      </c>
      <c r="AG47" s="116" t="e">
        <v>#VALUE!</v>
      </c>
      <c r="AH47" s="116" t="e">
        <v>#VALUE!</v>
      </c>
      <c r="AI47" s="116" t="e">
        <v>#VALUE!</v>
      </c>
      <c r="AJ47" s="116" t="e">
        <v>#VALUE!</v>
      </c>
      <c r="AK47" s="116" t="e">
        <v>#VALUE!</v>
      </c>
      <c r="AL47" s="154"/>
      <c r="AM47" s="152" t="s">
        <v>540</v>
      </c>
      <c r="AN47" s="99">
        <v>4</v>
      </c>
    </row>
    <row r="48" spans="1:40" ht="12.75">
      <c r="A48" t="s">
        <v>91</v>
      </c>
      <c r="B48" t="s">
        <v>65</v>
      </c>
      <c r="C48" t="s">
        <v>150</v>
      </c>
      <c r="D48">
        <v>75</v>
      </c>
      <c r="E48">
        <v>20</v>
      </c>
      <c r="F48">
        <f>E48+3*Investments!$C$7+Investments!$C$16+Investments!$C$17</f>
        <v>88</v>
      </c>
      <c r="G48" t="str">
        <f>15+15*Investments!$C$7&amp;" feet"</f>
        <v>240 feet</v>
      </c>
      <c r="H48" t="s">
        <v>629</v>
      </c>
      <c r="I48" t="s">
        <v>623</v>
      </c>
      <c r="J48" t="s">
        <v>641</v>
      </c>
      <c r="M48" s="115" t="s">
        <v>484</v>
      </c>
      <c r="N48" s="116">
        <v>250</v>
      </c>
      <c r="O48" s="116">
        <v>100</v>
      </c>
      <c r="P48" s="116">
        <v>150</v>
      </c>
      <c r="Q48" s="116">
        <v>350</v>
      </c>
      <c r="R48" s="116">
        <v>700</v>
      </c>
      <c r="S48" s="116">
        <v>950</v>
      </c>
      <c r="T48" s="116">
        <v>1500</v>
      </c>
      <c r="U48" s="116">
        <v>1850</v>
      </c>
      <c r="V48" s="116">
        <v>2500</v>
      </c>
      <c r="W48" s="116">
        <v>3200</v>
      </c>
      <c r="X48" s="117">
        <v>4000</v>
      </c>
      <c r="Z48" s="122" t="s">
        <v>554</v>
      </c>
      <c r="AA48" s="116">
        <v>100</v>
      </c>
      <c r="AB48" s="116">
        <v>200</v>
      </c>
      <c r="AC48" s="116">
        <v>400</v>
      </c>
      <c r="AD48" s="116">
        <v>800</v>
      </c>
      <c r="AE48" s="116">
        <v>1500</v>
      </c>
      <c r="AF48" s="116">
        <v>3000</v>
      </c>
      <c r="AG48" s="116">
        <v>6000</v>
      </c>
      <c r="AH48" s="116">
        <v>9000</v>
      </c>
      <c r="AI48" s="116">
        <v>12000</v>
      </c>
      <c r="AJ48" s="116" t="e">
        <v>#VALUE!</v>
      </c>
      <c r="AK48" s="116" t="e">
        <v>#VALUE!</v>
      </c>
      <c r="AL48" s="154"/>
      <c r="AM48" s="152" t="s">
        <v>698</v>
      </c>
      <c r="AN48" s="99">
        <v>8</v>
      </c>
    </row>
    <row r="49" spans="1:40" ht="12.75">
      <c r="A49" t="s">
        <v>91</v>
      </c>
      <c r="B49" t="s">
        <v>66</v>
      </c>
      <c r="C49" t="s">
        <v>151</v>
      </c>
      <c r="D49">
        <v>200</v>
      </c>
      <c r="E49">
        <v>30</v>
      </c>
      <c r="F49">
        <f>E49+3*Investments!$C$7+Investments!$C$16+Investments!$C$17</f>
        <v>98</v>
      </c>
      <c r="G49" t="str">
        <f>15+15*Investments!$C$7&amp;" feet"</f>
        <v>240 feet</v>
      </c>
      <c r="H49" t="str">
        <f>10+10*Investments!$C$7&amp;" minutes Max (Concentration)"</f>
        <v>160 minutes Max (Concentration)</v>
      </c>
      <c r="I49" t="s">
        <v>623</v>
      </c>
      <c r="J49" t="s">
        <v>642</v>
      </c>
      <c r="M49" s="115" t="s">
        <v>485</v>
      </c>
      <c r="N49" s="116">
        <v>750</v>
      </c>
      <c r="O49" s="116">
        <v>300</v>
      </c>
      <c r="P49" s="116">
        <v>1050</v>
      </c>
      <c r="Q49" s="116">
        <v>2350</v>
      </c>
      <c r="R49" s="116">
        <v>4000</v>
      </c>
      <c r="S49" s="116">
        <v>5750</v>
      </c>
      <c r="T49" s="116">
        <v>7900</v>
      </c>
      <c r="U49" s="116">
        <v>10250</v>
      </c>
      <c r="V49" s="116">
        <v>12900</v>
      </c>
      <c r="W49" s="116">
        <v>14850</v>
      </c>
      <c r="X49" s="117">
        <v>16000</v>
      </c>
      <c r="Z49" s="122" t="s">
        <v>555</v>
      </c>
      <c r="AA49" s="116">
        <v>100</v>
      </c>
      <c r="AB49" s="116">
        <v>200</v>
      </c>
      <c r="AC49" s="116">
        <v>400</v>
      </c>
      <c r="AD49" s="116">
        <v>800</v>
      </c>
      <c r="AE49" s="116">
        <v>1500</v>
      </c>
      <c r="AF49" s="116">
        <v>3000</v>
      </c>
      <c r="AG49" s="116">
        <v>6000</v>
      </c>
      <c r="AH49" s="116">
        <v>9000</v>
      </c>
      <c r="AI49" s="116">
        <v>12000</v>
      </c>
      <c r="AJ49" s="116" t="e">
        <v>#VALUE!</v>
      </c>
      <c r="AK49" s="116" t="e">
        <v>#VALUE!</v>
      </c>
      <c r="AL49" s="154"/>
      <c r="AM49" s="152" t="s">
        <v>541</v>
      </c>
      <c r="AN49" s="99">
        <v>25</v>
      </c>
    </row>
    <row r="50" spans="1:40" ht="12.75">
      <c r="A50" t="s">
        <v>91</v>
      </c>
      <c r="B50" t="s">
        <v>67</v>
      </c>
      <c r="C50" t="s">
        <v>152</v>
      </c>
      <c r="D50">
        <v>200</v>
      </c>
      <c r="E50">
        <v>30</v>
      </c>
      <c r="F50">
        <f>E50+3*Investments!$C$7+Investments!$C$16+Investments!$C$17</f>
        <v>98</v>
      </c>
      <c r="G50" t="str">
        <f>15+15*Investments!$C$7&amp;" feet"</f>
        <v>240 feet</v>
      </c>
      <c r="H50" t="str">
        <f>10+10*Investments!$C$7&amp;" minutes Max (Concentration)"</f>
        <v>160 minutes Max (Concentration)</v>
      </c>
      <c r="I50" t="s">
        <v>623</v>
      </c>
      <c r="J50" t="s">
        <v>642</v>
      </c>
      <c r="M50" s="115" t="s">
        <v>486</v>
      </c>
      <c r="N50" s="116">
        <v>800</v>
      </c>
      <c r="O50" s="116">
        <v>350</v>
      </c>
      <c r="P50" s="116">
        <v>1200</v>
      </c>
      <c r="Q50" s="116">
        <v>2650</v>
      </c>
      <c r="R50" s="116">
        <v>4350</v>
      </c>
      <c r="S50" s="116">
        <v>6500</v>
      </c>
      <c r="T50" s="116">
        <v>8650</v>
      </c>
      <c r="U50" s="116">
        <v>11100</v>
      </c>
      <c r="V50" s="116">
        <v>12750</v>
      </c>
      <c r="W50" s="116">
        <v>14500</v>
      </c>
      <c r="X50" s="117">
        <v>17000</v>
      </c>
      <c r="Z50" s="122" t="s">
        <v>556</v>
      </c>
      <c r="AA50" s="116">
        <v>25</v>
      </c>
      <c r="AB50" s="116">
        <v>50</v>
      </c>
      <c r="AC50" s="116">
        <v>100</v>
      </c>
      <c r="AD50" s="116">
        <v>200</v>
      </c>
      <c r="AE50" s="116">
        <v>400</v>
      </c>
      <c r="AF50" s="116" t="e">
        <v>#VALUE!</v>
      </c>
      <c r="AG50" s="116" t="e">
        <v>#VALUE!</v>
      </c>
      <c r="AH50" s="116" t="e">
        <v>#VALUE!</v>
      </c>
      <c r="AI50" s="116" t="e">
        <v>#VALUE!</v>
      </c>
      <c r="AJ50" s="116" t="e">
        <v>#VALUE!</v>
      </c>
      <c r="AK50" s="116" t="e">
        <v>#VALUE!</v>
      </c>
      <c r="AL50" s="154"/>
      <c r="AM50" s="152" t="s">
        <v>542</v>
      </c>
      <c r="AN50" s="99">
        <v>15</v>
      </c>
    </row>
    <row r="51" spans="1:40" ht="12.75">
      <c r="A51" t="s">
        <v>91</v>
      </c>
      <c r="B51" t="s">
        <v>68</v>
      </c>
      <c r="C51" t="s">
        <v>153</v>
      </c>
      <c r="D51">
        <v>200</v>
      </c>
      <c r="E51">
        <v>30</v>
      </c>
      <c r="F51">
        <f>E51+3*Investments!$C$7+Investments!$C$16+Investments!$C$17</f>
        <v>98</v>
      </c>
      <c r="G51" t="str">
        <f>15+15*Investments!$C$7&amp;" feet"</f>
        <v>240 feet</v>
      </c>
      <c r="H51" t="str">
        <f>10+10*Investments!$C$7&amp;" minutes Max (Concentration)"</f>
        <v>160 minutes Max (Concentration)</v>
      </c>
      <c r="I51" t="s">
        <v>623</v>
      </c>
      <c r="J51" t="s">
        <v>642</v>
      </c>
      <c r="M51" s="115" t="s">
        <v>487</v>
      </c>
      <c r="N51" s="116">
        <v>250</v>
      </c>
      <c r="O51" s="116">
        <v>100</v>
      </c>
      <c r="P51" s="116">
        <v>200</v>
      </c>
      <c r="Q51" s="116">
        <v>500</v>
      </c>
      <c r="R51" s="116">
        <v>950</v>
      </c>
      <c r="S51" s="116">
        <v>1450</v>
      </c>
      <c r="T51" s="116">
        <v>2050</v>
      </c>
      <c r="U51" s="116">
        <v>2800</v>
      </c>
      <c r="V51" s="116">
        <v>3600</v>
      </c>
      <c r="W51" s="116">
        <v>6300</v>
      </c>
      <c r="X51" s="117">
        <v>8000</v>
      </c>
      <c r="Z51" s="122" t="s">
        <v>557</v>
      </c>
      <c r="AA51" s="116">
        <v>100</v>
      </c>
      <c r="AB51" s="116">
        <v>200</v>
      </c>
      <c r="AC51" s="116">
        <v>400</v>
      </c>
      <c r="AD51" s="116">
        <v>800</v>
      </c>
      <c r="AE51" s="116">
        <v>1500</v>
      </c>
      <c r="AF51" s="116">
        <v>3000</v>
      </c>
      <c r="AG51" s="116">
        <v>6000</v>
      </c>
      <c r="AH51" s="116">
        <v>9000</v>
      </c>
      <c r="AI51" s="116">
        <v>12000</v>
      </c>
      <c r="AJ51" s="116" t="e">
        <v>#VALUE!</v>
      </c>
      <c r="AK51" s="116" t="e">
        <v>#VALUE!</v>
      </c>
      <c r="AL51" s="154"/>
      <c r="AM51" s="152" t="s">
        <v>543</v>
      </c>
      <c r="AN51" s="189">
        <v>20</v>
      </c>
    </row>
    <row r="52" spans="1:40" ht="12.75">
      <c r="A52" t="s">
        <v>91</v>
      </c>
      <c r="B52" t="s">
        <v>69</v>
      </c>
      <c r="C52" t="s">
        <v>154</v>
      </c>
      <c r="D52">
        <v>300</v>
      </c>
      <c r="E52">
        <v>10</v>
      </c>
      <c r="F52">
        <f>E52+3*Investments!$C$7+Investments!$C$16+Investments!$C$17</f>
        <v>78</v>
      </c>
      <c r="G52" t="str">
        <f>15+15*Investments!$C$7&amp;" feet"</f>
        <v>240 feet</v>
      </c>
      <c r="H52" t="str">
        <f>10+10*Investments!$C$7&amp;" minutes Max (Concentration)"</f>
        <v>160 minutes Max (Concentration)</v>
      </c>
      <c r="I52" t="s">
        <v>623</v>
      </c>
      <c r="J52" t="str">
        <f>"Can cause "&amp;1+ROUNDUP(Investments!$C$7/3,0)&amp;" points of damage.  Disbelieved instead of resisted."</f>
        <v>Can cause 6 points of damage.  Disbelieved instead of resisted.</v>
      </c>
      <c r="M52" s="115" t="s">
        <v>488</v>
      </c>
      <c r="N52" s="116">
        <v>250</v>
      </c>
      <c r="O52" s="116">
        <v>100</v>
      </c>
      <c r="P52" s="116">
        <v>150</v>
      </c>
      <c r="Q52" s="116">
        <v>350</v>
      </c>
      <c r="R52" s="116">
        <v>700</v>
      </c>
      <c r="S52" s="116">
        <v>950</v>
      </c>
      <c r="T52" s="116">
        <v>1500</v>
      </c>
      <c r="U52" s="116">
        <v>1850</v>
      </c>
      <c r="V52" s="116">
        <v>2500</v>
      </c>
      <c r="W52" s="116">
        <v>3200</v>
      </c>
      <c r="X52" s="117">
        <v>4000</v>
      </c>
      <c r="Z52" s="122" t="s">
        <v>558</v>
      </c>
      <c r="AA52" s="116">
        <v>100</v>
      </c>
      <c r="AB52" s="116">
        <v>200</v>
      </c>
      <c r="AC52" s="116">
        <v>400</v>
      </c>
      <c r="AD52" s="116">
        <v>800</v>
      </c>
      <c r="AE52" s="116">
        <v>1500</v>
      </c>
      <c r="AF52" s="116">
        <v>3000</v>
      </c>
      <c r="AG52" s="116">
        <v>6000</v>
      </c>
      <c r="AH52" s="116" t="e">
        <v>#VALUE!</v>
      </c>
      <c r="AI52" s="116" t="e">
        <v>#VALUE!</v>
      </c>
      <c r="AJ52" s="116" t="e">
        <v>#VALUE!</v>
      </c>
      <c r="AK52" s="116" t="e">
        <v>#VALUE!</v>
      </c>
      <c r="AL52" s="154"/>
      <c r="AM52" s="152" t="s">
        <v>578</v>
      </c>
      <c r="AN52" s="188">
        <v>6</v>
      </c>
    </row>
    <row r="53" spans="1:40" ht="12.75">
      <c r="A53" t="s">
        <v>92</v>
      </c>
      <c r="B53" t="s">
        <v>64</v>
      </c>
      <c r="C53" t="s">
        <v>155</v>
      </c>
      <c r="D53">
        <v>75</v>
      </c>
      <c r="F53" s="138" t="str">
        <f>"PC + "&amp;5*Investments!$C$7+Investments!$C$16+Investments!$C$17</f>
        <v>PC + 98</v>
      </c>
      <c r="G53" t="s">
        <v>622</v>
      </c>
      <c r="H53" t="s">
        <v>623</v>
      </c>
      <c r="I53" t="s">
        <v>623</v>
      </c>
      <c r="M53" s="115" t="s">
        <v>489</v>
      </c>
      <c r="N53" s="116">
        <v>250</v>
      </c>
      <c r="O53" s="116">
        <v>100</v>
      </c>
      <c r="P53" s="116">
        <v>150</v>
      </c>
      <c r="Q53" s="116">
        <v>350</v>
      </c>
      <c r="R53" s="116">
        <v>700</v>
      </c>
      <c r="S53" s="116">
        <v>950</v>
      </c>
      <c r="T53" s="116">
        <v>1500</v>
      </c>
      <c r="U53" s="116">
        <v>1850</v>
      </c>
      <c r="V53" s="116">
        <v>2500</v>
      </c>
      <c r="W53" s="116">
        <v>3200</v>
      </c>
      <c r="X53" s="117">
        <v>4000</v>
      </c>
      <c r="Z53" s="122" t="s">
        <v>559</v>
      </c>
      <c r="AA53" s="116">
        <v>200</v>
      </c>
      <c r="AB53" s="116">
        <v>400</v>
      </c>
      <c r="AC53" s="116">
        <v>800</v>
      </c>
      <c r="AD53" s="116">
        <v>1500</v>
      </c>
      <c r="AE53" s="116">
        <v>3000</v>
      </c>
      <c r="AF53" s="116">
        <v>6000</v>
      </c>
      <c r="AG53" s="116">
        <v>9000</v>
      </c>
      <c r="AH53" s="116">
        <v>12000</v>
      </c>
      <c r="AI53" s="116">
        <v>15000</v>
      </c>
      <c r="AJ53" s="116" t="e">
        <v>#VALUE!</v>
      </c>
      <c r="AK53" s="116" t="e">
        <v>#VALUE!</v>
      </c>
      <c r="AL53" s="154"/>
      <c r="AM53" s="152" t="s">
        <v>544</v>
      </c>
      <c r="AN53" s="99">
        <v>18</v>
      </c>
    </row>
    <row r="54" spans="1:40" ht="12.75">
      <c r="A54" t="s">
        <v>92</v>
      </c>
      <c r="B54" t="s">
        <v>74</v>
      </c>
      <c r="C54" t="s">
        <v>156</v>
      </c>
      <c r="D54">
        <v>450</v>
      </c>
      <c r="E54">
        <v>40</v>
      </c>
      <c r="F54">
        <f>E54+3*Investments!$C$7+Investments!$C$16+Investments!$C$17</f>
        <v>108</v>
      </c>
      <c r="G54" t="str">
        <f>15+15*ROUNDUP(Investments!$C$7/2,0)&amp;" feet"</f>
        <v>135 feet</v>
      </c>
      <c r="H54" t="str">
        <f>1+1*Investments!$C$7&amp;" hours"</f>
        <v>16 hours</v>
      </c>
      <c r="I54" t="s">
        <v>623</v>
      </c>
      <c r="M54" s="115" t="s">
        <v>490</v>
      </c>
      <c r="N54" s="116">
        <v>200</v>
      </c>
      <c r="O54" s="116">
        <v>75</v>
      </c>
      <c r="P54" s="116">
        <v>200</v>
      </c>
      <c r="Q54" s="116">
        <v>600</v>
      </c>
      <c r="R54" s="116">
        <v>900</v>
      </c>
      <c r="S54" s="116">
        <v>1200</v>
      </c>
      <c r="T54" s="116">
        <v>1675</v>
      </c>
      <c r="U54" s="116">
        <v>2225</v>
      </c>
      <c r="V54" s="116">
        <v>2875</v>
      </c>
      <c r="W54" s="116">
        <v>3550</v>
      </c>
      <c r="X54" s="117">
        <v>5252</v>
      </c>
      <c r="Z54" s="122" t="s">
        <v>560</v>
      </c>
      <c r="AA54" s="116">
        <v>100</v>
      </c>
      <c r="AB54" s="116">
        <v>200</v>
      </c>
      <c r="AC54" s="116">
        <v>400</v>
      </c>
      <c r="AD54" s="116">
        <v>800</v>
      </c>
      <c r="AE54" s="116">
        <v>1500</v>
      </c>
      <c r="AF54" s="116">
        <v>3300</v>
      </c>
      <c r="AG54" s="116" t="e">
        <v>#VALUE!</v>
      </c>
      <c r="AH54" s="116" t="e">
        <v>#VALUE!</v>
      </c>
      <c r="AI54" s="116" t="e">
        <v>#VALUE!</v>
      </c>
      <c r="AJ54" s="116" t="e">
        <v>#VALUE!</v>
      </c>
      <c r="AK54" s="116" t="e">
        <v>#VALUE!</v>
      </c>
      <c r="AL54" s="154"/>
      <c r="AM54" s="152" t="s">
        <v>545</v>
      </c>
      <c r="AN54" s="99">
        <v>20</v>
      </c>
    </row>
    <row r="55" spans="1:40" ht="12.75">
      <c r="A55" t="s">
        <v>92</v>
      </c>
      <c r="B55" t="s">
        <v>75</v>
      </c>
      <c r="C55" t="s">
        <v>157</v>
      </c>
      <c r="D55">
        <v>500</v>
      </c>
      <c r="E55">
        <v>10</v>
      </c>
      <c r="F55">
        <f>E55+3*Investments!$C$7+Investments!$C$16+Investments!$C$17</f>
        <v>78</v>
      </c>
      <c r="G55" t="str">
        <f>5+5*ROUNDUP(Investments!$C$7/2,0)&amp;" feet"</f>
        <v>45 feet</v>
      </c>
      <c r="H55" t="str">
        <f>1+1*Investments!$C$7&amp;" hours"</f>
        <v>16 hours</v>
      </c>
      <c r="I55" t="s">
        <v>623</v>
      </c>
      <c r="M55" s="115" t="s">
        <v>491</v>
      </c>
      <c r="N55" s="116">
        <v>250</v>
      </c>
      <c r="O55" s="116">
        <v>100</v>
      </c>
      <c r="P55" s="116">
        <v>150</v>
      </c>
      <c r="Q55" s="116">
        <v>350</v>
      </c>
      <c r="R55" s="116">
        <v>700</v>
      </c>
      <c r="S55" s="116">
        <v>950</v>
      </c>
      <c r="T55" s="116">
        <v>1500</v>
      </c>
      <c r="U55" s="116">
        <v>1850</v>
      </c>
      <c r="V55" s="116">
        <v>2500</v>
      </c>
      <c r="W55" s="116">
        <v>3200</v>
      </c>
      <c r="X55" s="117">
        <v>4000</v>
      </c>
      <c r="Z55" s="122" t="s">
        <v>561</v>
      </c>
      <c r="AA55" s="116">
        <v>25</v>
      </c>
      <c r="AB55" s="116">
        <v>50</v>
      </c>
      <c r="AC55" s="116">
        <v>100</v>
      </c>
      <c r="AD55" s="116">
        <v>200</v>
      </c>
      <c r="AE55" s="116">
        <v>400</v>
      </c>
      <c r="AF55" s="116">
        <v>800</v>
      </c>
      <c r="AG55" s="116">
        <v>1500</v>
      </c>
      <c r="AH55" s="116">
        <v>3000</v>
      </c>
      <c r="AI55" s="116">
        <v>6000</v>
      </c>
      <c r="AJ55" s="116">
        <v>10000</v>
      </c>
      <c r="AK55" s="116">
        <v>15000</v>
      </c>
      <c r="AL55" s="154"/>
      <c r="AM55" s="152" t="s">
        <v>579</v>
      </c>
      <c r="AN55" s="190">
        <v>15</v>
      </c>
    </row>
    <row r="56" spans="1:40" ht="12.75">
      <c r="A56" t="s">
        <v>93</v>
      </c>
      <c r="B56" t="s">
        <v>64</v>
      </c>
      <c r="C56" t="s">
        <v>158</v>
      </c>
      <c r="D56">
        <v>150</v>
      </c>
      <c r="F56" s="138" t="str">
        <f>"PC + "&amp;5*Investments!$C$7+Investments!$C$16+Investments!$C$17</f>
        <v>PC + 98</v>
      </c>
      <c r="G56" t="str">
        <f>10+10*Investments!$C$7&amp;" miles"</f>
        <v>160 miles</v>
      </c>
      <c r="H56" t="s">
        <v>623</v>
      </c>
      <c r="I56" t="s">
        <v>623</v>
      </c>
      <c r="M56" s="115" t="s">
        <v>492</v>
      </c>
      <c r="N56" s="116">
        <v>500</v>
      </c>
      <c r="O56" s="116">
        <v>500</v>
      </c>
      <c r="P56" s="116">
        <v>1000</v>
      </c>
      <c r="Q56" s="116">
        <v>1500</v>
      </c>
      <c r="R56" s="116">
        <v>2000</v>
      </c>
      <c r="S56" s="116">
        <v>2500</v>
      </c>
      <c r="T56" s="116">
        <v>3000</v>
      </c>
      <c r="U56" s="116">
        <v>3500</v>
      </c>
      <c r="V56" s="116">
        <v>4000</v>
      </c>
      <c r="W56" s="116">
        <v>4500</v>
      </c>
      <c r="X56" s="117">
        <v>5000</v>
      </c>
      <c r="Z56" s="122" t="s">
        <v>562</v>
      </c>
      <c r="AA56" s="116" t="e">
        <v>#N/A</v>
      </c>
      <c r="AB56" s="116" t="e">
        <v>#N/A</v>
      </c>
      <c r="AC56" s="116" t="e">
        <v>#N/A</v>
      </c>
      <c r="AD56" s="116" t="e">
        <v>#N/A</v>
      </c>
      <c r="AE56" s="116" t="e">
        <v>#N/A</v>
      </c>
      <c r="AF56" s="116" t="e">
        <v>#N/A</v>
      </c>
      <c r="AG56" s="116" t="e">
        <v>#N/A</v>
      </c>
      <c r="AH56" s="116" t="e">
        <v>#N/A</v>
      </c>
      <c r="AI56" s="116" t="e">
        <v>#N/A</v>
      </c>
      <c r="AJ56" s="116" t="e">
        <v>#N/A</v>
      </c>
      <c r="AK56" s="116" t="e">
        <v>#N/A</v>
      </c>
      <c r="AL56" s="154"/>
      <c r="AM56" s="152" t="s">
        <v>546</v>
      </c>
      <c r="AN56" s="99">
        <v>4</v>
      </c>
    </row>
    <row r="57" spans="1:40" ht="12.75">
      <c r="A57" t="s">
        <v>93</v>
      </c>
      <c r="B57" t="s">
        <v>65</v>
      </c>
      <c r="C57" t="s">
        <v>159</v>
      </c>
      <c r="D57">
        <v>100</v>
      </c>
      <c r="E57">
        <v>40</v>
      </c>
      <c r="F57">
        <f>E57+3*Investments!$C$7+Investments!$C$16+Investments!$C$17</f>
        <v>108</v>
      </c>
      <c r="G57" t="str">
        <f>10+10*Investments!$C$7&amp;" feet"</f>
        <v>160 feet</v>
      </c>
      <c r="H57" t="str">
        <f>"[D - 5] * "&amp;10*Investments!$C$7&amp;" minutes"</f>
        <v>[D - 5] * 150 minutes</v>
      </c>
      <c r="I57" t="s">
        <v>623</v>
      </c>
      <c r="J57" t="str">
        <f>-ROUNDUP(Investments!$C$7/2,0)&amp;" damage from Fire based damage.  MR for COLD base magic is increased by "&amp;2*Investments!$C$7&amp;"%"</f>
        <v>-8 damage from Fire based damage.  MR for COLD base magic is increased by 30%</v>
      </c>
      <c r="M57" s="115" t="s">
        <v>493</v>
      </c>
      <c r="N57" s="116">
        <v>125</v>
      </c>
      <c r="O57" s="116">
        <v>250</v>
      </c>
      <c r="P57" s="116">
        <v>250</v>
      </c>
      <c r="Q57" s="116">
        <v>375</v>
      </c>
      <c r="R57" s="116">
        <v>500</v>
      </c>
      <c r="S57" s="116">
        <v>625</v>
      </c>
      <c r="T57" s="116">
        <v>750</v>
      </c>
      <c r="U57" s="116">
        <v>875</v>
      </c>
      <c r="V57" s="116">
        <v>1000</v>
      </c>
      <c r="W57" s="116">
        <v>1125</v>
      </c>
      <c r="X57" s="117">
        <v>1250</v>
      </c>
      <c r="Z57" s="122" t="s">
        <v>563</v>
      </c>
      <c r="AA57" s="116">
        <v>200</v>
      </c>
      <c r="AB57" s="116">
        <v>400</v>
      </c>
      <c r="AC57" s="116">
        <v>800</v>
      </c>
      <c r="AD57" s="116">
        <v>1600</v>
      </c>
      <c r="AE57" s="116">
        <v>3000</v>
      </c>
      <c r="AF57" s="116">
        <v>6000</v>
      </c>
      <c r="AG57" s="116" t="e">
        <v>#VALUE!</v>
      </c>
      <c r="AH57" s="116" t="e">
        <v>#VALUE!</v>
      </c>
      <c r="AI57" s="116" t="e">
        <v>#VALUE!</v>
      </c>
      <c r="AJ57" s="116" t="e">
        <v>#VALUE!</v>
      </c>
      <c r="AK57" s="116" t="e">
        <v>#VALUE!</v>
      </c>
      <c r="AL57" s="154"/>
      <c r="AM57" s="152" t="s">
        <v>580</v>
      </c>
      <c r="AN57" s="188">
        <v>65</v>
      </c>
    </row>
    <row r="58" spans="1:40" ht="12.75">
      <c r="A58" t="s">
        <v>93</v>
      </c>
      <c r="B58" t="s">
        <v>66</v>
      </c>
      <c r="C58" t="s">
        <v>160</v>
      </c>
      <c r="D58">
        <v>100</v>
      </c>
      <c r="E58">
        <v>25</v>
      </c>
      <c r="F58">
        <f>E58+3*Investments!$C$7+Investments!$C$16+Investments!$C$17</f>
        <v>93</v>
      </c>
      <c r="G58" t="str">
        <f>15+10*Investments!$C$7&amp;" feet"</f>
        <v>165 feet</v>
      </c>
      <c r="H58" t="str">
        <f>6*Investments!$C$7&amp;" minutes"</f>
        <v>90 minutes</v>
      </c>
      <c r="I58" t="s">
        <v>623</v>
      </c>
      <c r="J58" t="str">
        <f>"1 inch thick by "&amp;Investments!$C$7&amp;" square feet film of ice OR create "&amp;6*Investments!$C$7&amp;" cubic inches of ice."</f>
        <v>1 inch thick by 15 square feet film of ice OR create 90 cubic inches of ice.</v>
      </c>
      <c r="M58" s="115" t="s">
        <v>494</v>
      </c>
      <c r="N58" s="116">
        <v>600</v>
      </c>
      <c r="O58" s="116">
        <v>250</v>
      </c>
      <c r="P58" s="116">
        <v>650</v>
      </c>
      <c r="Q58" s="116">
        <v>1500</v>
      </c>
      <c r="R58" s="116">
        <v>2600</v>
      </c>
      <c r="S58" s="116">
        <v>3900</v>
      </c>
      <c r="T58" s="116">
        <v>5300</v>
      </c>
      <c r="U58" s="116">
        <v>7000</v>
      </c>
      <c r="V58" s="116">
        <v>8850</v>
      </c>
      <c r="W58" s="116">
        <v>10900</v>
      </c>
      <c r="X58" s="117">
        <v>13000</v>
      </c>
      <c r="Z58" s="122" t="s">
        <v>564</v>
      </c>
      <c r="AA58" s="116">
        <v>100</v>
      </c>
      <c r="AB58" s="116">
        <v>200</v>
      </c>
      <c r="AC58" s="116">
        <v>400</v>
      </c>
      <c r="AD58" s="116">
        <v>800</v>
      </c>
      <c r="AE58" s="116">
        <v>1500</v>
      </c>
      <c r="AF58" s="116">
        <v>3000</v>
      </c>
      <c r="AG58" s="116">
        <v>6000</v>
      </c>
      <c r="AH58" s="116">
        <v>9000</v>
      </c>
      <c r="AI58" s="116">
        <v>12000</v>
      </c>
      <c r="AJ58" s="116" t="e">
        <v>#VALUE!</v>
      </c>
      <c r="AK58" s="116" t="e">
        <v>#VALUE!</v>
      </c>
      <c r="AL58" s="154"/>
      <c r="AM58" s="152" t="s">
        <v>581</v>
      </c>
      <c r="AN58" s="188">
        <v>60</v>
      </c>
    </row>
    <row r="59" spans="1:40" ht="12.75">
      <c r="A59" t="s">
        <v>93</v>
      </c>
      <c r="B59" t="s">
        <v>67</v>
      </c>
      <c r="C59" t="s">
        <v>161</v>
      </c>
      <c r="D59">
        <v>125</v>
      </c>
      <c r="E59">
        <v>30</v>
      </c>
      <c r="F59">
        <f>E59+3*Investments!$C$7+Investments!$C$16+Investments!$C$17</f>
        <v>98</v>
      </c>
      <c r="G59" t="str">
        <f>10+10*Investments!$C$7&amp;" feet"</f>
        <v>160 feet</v>
      </c>
      <c r="H59" t="str">
        <f>"D * "&amp;5*Investments!$C$7&amp;" minutes"</f>
        <v>D * 75 minutes</v>
      </c>
      <c r="I59" t="s">
        <v>623</v>
      </c>
      <c r="J59" t="str">
        <f>"Create a wind able to move a longship at a rate of "&amp;5+Investments!$C$7&amp;" knots."</f>
        <v>Create a wind able to move a longship at a rate of 20 knots.</v>
      </c>
      <c r="M59" s="115" t="s">
        <v>495</v>
      </c>
      <c r="N59" s="116">
        <v>125</v>
      </c>
      <c r="O59" s="116">
        <v>125</v>
      </c>
      <c r="P59" s="116">
        <v>250</v>
      </c>
      <c r="Q59" s="116">
        <v>375</v>
      </c>
      <c r="R59" s="116">
        <v>500</v>
      </c>
      <c r="S59" s="116">
        <v>625</v>
      </c>
      <c r="T59" s="116">
        <v>750</v>
      </c>
      <c r="U59" s="116">
        <v>875</v>
      </c>
      <c r="V59" s="116">
        <v>1000</v>
      </c>
      <c r="W59" s="116">
        <v>1125</v>
      </c>
      <c r="X59" s="117">
        <v>1250</v>
      </c>
      <c r="Z59" s="122" t="s">
        <v>565</v>
      </c>
      <c r="AA59" s="116">
        <v>50</v>
      </c>
      <c r="AB59" s="116">
        <v>100</v>
      </c>
      <c r="AC59" s="116">
        <v>200</v>
      </c>
      <c r="AD59" s="116">
        <v>400</v>
      </c>
      <c r="AE59" s="116">
        <v>800</v>
      </c>
      <c r="AF59" s="116">
        <v>1500</v>
      </c>
      <c r="AG59" s="116" t="e">
        <v>#VALUE!</v>
      </c>
      <c r="AH59" s="116" t="e">
        <v>#VALUE!</v>
      </c>
      <c r="AI59" s="116" t="e">
        <v>#VALUE!</v>
      </c>
      <c r="AJ59" s="116" t="e">
        <v>#VALUE!</v>
      </c>
      <c r="AK59" s="116" t="e">
        <v>#VALUE!</v>
      </c>
      <c r="AL59" s="154"/>
      <c r="AM59" s="152" t="s">
        <v>582</v>
      </c>
      <c r="AN59" s="188"/>
    </row>
    <row r="60" spans="1:40" ht="13.5" thickBot="1">
      <c r="A60" t="s">
        <v>93</v>
      </c>
      <c r="B60" t="s">
        <v>68</v>
      </c>
      <c r="C60" t="s">
        <v>162</v>
      </c>
      <c r="D60">
        <v>75</v>
      </c>
      <c r="E60">
        <v>20</v>
      </c>
      <c r="F60">
        <f>E60+3*Investments!$C$7+Investments!$C$16+Investments!$C$17</f>
        <v>88</v>
      </c>
      <c r="G60" t="str">
        <f>35+10*Investments!$C$7&amp;" feet"</f>
        <v>185 feet</v>
      </c>
      <c r="H60" t="str">
        <f>10+10*Investments!$C$7&amp;" minutes"</f>
        <v>160 minutes</v>
      </c>
      <c r="I60" t="s">
        <v>623</v>
      </c>
      <c r="J60" t="s">
        <v>643</v>
      </c>
      <c r="M60" s="118" t="s">
        <v>465</v>
      </c>
      <c r="N60" s="119">
        <v>500</v>
      </c>
      <c r="O60" s="119">
        <v>1000</v>
      </c>
      <c r="P60" s="119">
        <v>1500</v>
      </c>
      <c r="Q60" s="119">
        <v>2000</v>
      </c>
      <c r="R60" s="119">
        <v>2500</v>
      </c>
      <c r="S60" s="119">
        <v>3000</v>
      </c>
      <c r="T60" s="119">
        <v>3500</v>
      </c>
      <c r="U60" s="119">
        <v>4000</v>
      </c>
      <c r="V60" s="119">
        <v>4500</v>
      </c>
      <c r="W60" s="119">
        <v>5000</v>
      </c>
      <c r="X60" s="120">
        <v>5500</v>
      </c>
      <c r="Z60" s="122" t="s">
        <v>566</v>
      </c>
      <c r="AA60" s="116">
        <v>150</v>
      </c>
      <c r="AB60" s="116">
        <v>450</v>
      </c>
      <c r="AC60" s="116">
        <v>900</v>
      </c>
      <c r="AD60" s="116">
        <v>1500</v>
      </c>
      <c r="AE60" s="116">
        <v>2300</v>
      </c>
      <c r="AF60" s="116">
        <v>3200</v>
      </c>
      <c r="AG60" s="116">
        <v>4700</v>
      </c>
      <c r="AH60" s="116">
        <v>7700</v>
      </c>
      <c r="AI60" s="116">
        <v>11700</v>
      </c>
      <c r="AJ60" s="116">
        <v>16700</v>
      </c>
      <c r="AK60" s="116">
        <v>20700</v>
      </c>
      <c r="AL60" s="154"/>
      <c r="AM60" s="152" t="s">
        <v>921</v>
      </c>
      <c r="AN60" s="188">
        <v>100</v>
      </c>
    </row>
    <row r="61" spans="1:40" ht="12.75">
      <c r="A61" t="s">
        <v>93</v>
      </c>
      <c r="B61" t="s">
        <v>69</v>
      </c>
      <c r="C61" t="s">
        <v>163</v>
      </c>
      <c r="D61">
        <v>100</v>
      </c>
      <c r="E61">
        <v>40</v>
      </c>
      <c r="F61">
        <f>E61+3*Investments!$C$7+Investments!$C$16+Investments!$C$17</f>
        <v>108</v>
      </c>
      <c r="G61" t="s">
        <v>635</v>
      </c>
      <c r="H61" t="s">
        <v>644</v>
      </c>
      <c r="I61" t="s">
        <v>623</v>
      </c>
      <c r="J61" t="s">
        <v>645</v>
      </c>
      <c r="Z61" s="122" t="s">
        <v>567</v>
      </c>
      <c r="AA61" s="116">
        <v>25</v>
      </c>
      <c r="AB61" s="116">
        <v>100</v>
      </c>
      <c r="AC61" s="116">
        <v>250</v>
      </c>
      <c r="AD61" s="116">
        <v>550</v>
      </c>
      <c r="AE61" s="116">
        <v>1050</v>
      </c>
      <c r="AF61" s="116">
        <v>1750</v>
      </c>
      <c r="AG61" s="116" t="e">
        <v>#VALUE!</v>
      </c>
      <c r="AH61" s="116" t="e">
        <v>#VALUE!</v>
      </c>
      <c r="AI61" s="116" t="e">
        <v>#VALUE!</v>
      </c>
      <c r="AJ61" s="116" t="e">
        <v>#VALUE!</v>
      </c>
      <c r="AK61" s="116" t="e">
        <v>#VALUE!</v>
      </c>
      <c r="AL61" s="154"/>
      <c r="AM61" s="192" t="s">
        <v>594</v>
      </c>
      <c r="AN61" s="188">
        <v>150</v>
      </c>
    </row>
    <row r="62" spans="1:40" ht="12.75">
      <c r="A62" t="s">
        <v>93</v>
      </c>
      <c r="B62" t="s">
        <v>70</v>
      </c>
      <c r="C62" t="s">
        <v>164</v>
      </c>
      <c r="D62">
        <v>100</v>
      </c>
      <c r="E62">
        <v>20</v>
      </c>
      <c r="F62">
        <f>E62+3*Investments!$C$7+Investments!$C$16+Investments!$C$17</f>
        <v>88</v>
      </c>
      <c r="G62" t="str">
        <f>20+20*Investments!$C$7&amp;" feet"</f>
        <v>320 feet</v>
      </c>
      <c r="H62" t="str">
        <f>"D * "&amp;Investments!$C$7&amp;" minutes"</f>
        <v>D * 15 minutes</v>
      </c>
      <c r="I62" t="s">
        <v>623</v>
      </c>
      <c r="J62" t="str">
        <f>"Can create up to "&amp;10+10*Investments!$C$7&amp;" cubic feet of mist or fog."</f>
        <v>Can create up to 160 cubic feet of mist or fog.</v>
      </c>
      <c r="Z62" s="122" t="s">
        <v>568</v>
      </c>
      <c r="AA62" s="116">
        <v>50</v>
      </c>
      <c r="AB62" s="116">
        <v>100</v>
      </c>
      <c r="AC62" s="116">
        <v>200</v>
      </c>
      <c r="AD62" s="116">
        <v>400</v>
      </c>
      <c r="AE62" s="116">
        <v>800</v>
      </c>
      <c r="AF62" s="116">
        <v>1500</v>
      </c>
      <c r="AG62" s="116" t="e">
        <v>#VALUE!</v>
      </c>
      <c r="AH62" s="116" t="e">
        <v>#VALUE!</v>
      </c>
      <c r="AI62" s="116" t="e">
        <v>#VALUE!</v>
      </c>
      <c r="AJ62" s="116" t="e">
        <v>#VALUE!</v>
      </c>
      <c r="AK62" s="116" t="e">
        <v>#VALUE!</v>
      </c>
      <c r="AL62" s="154"/>
      <c r="AM62" s="152" t="s">
        <v>547</v>
      </c>
      <c r="AN62" s="99">
        <v>15</v>
      </c>
    </row>
    <row r="63" spans="1:40" ht="12.75">
      <c r="A63" t="s">
        <v>93</v>
      </c>
      <c r="B63" t="s">
        <v>71</v>
      </c>
      <c r="C63" t="s">
        <v>165</v>
      </c>
      <c r="D63">
        <v>100</v>
      </c>
      <c r="E63">
        <v>30</v>
      </c>
      <c r="F63">
        <f>E63+3*Investments!$C$7+Investments!$C$16+Investments!$C$17</f>
        <v>98</v>
      </c>
      <c r="G63" t="s">
        <v>635</v>
      </c>
      <c r="H63" t="s">
        <v>629</v>
      </c>
      <c r="I63" t="s">
        <v>623</v>
      </c>
      <c r="J63" t="str">
        <f>"Can summon up to "&amp;Investments!$C$7&amp;" flying entities (not dragons) within "&amp;5-0.5*Investments!$C$7&amp;" minutes."</f>
        <v>Can summon up to 15 flying entities (not dragons) within -2.5 minutes.</v>
      </c>
      <c r="M63" s="106" t="s">
        <v>452</v>
      </c>
      <c r="N63" s="107">
        <v>200</v>
      </c>
      <c r="O63" s="107">
        <v>75</v>
      </c>
      <c r="P63" s="107">
        <v>125</v>
      </c>
      <c r="Q63" s="107">
        <v>300</v>
      </c>
      <c r="R63" s="107">
        <v>550</v>
      </c>
      <c r="S63" s="107">
        <v>850</v>
      </c>
      <c r="T63" s="107">
        <v>1350</v>
      </c>
      <c r="U63" s="107">
        <v>1700</v>
      </c>
      <c r="V63" s="107">
        <v>2250</v>
      </c>
      <c r="W63" s="107">
        <v>2900</v>
      </c>
      <c r="X63" s="108">
        <v>3500</v>
      </c>
      <c r="Z63" s="122" t="s">
        <v>569</v>
      </c>
      <c r="AA63" s="116">
        <v>75</v>
      </c>
      <c r="AB63" s="116">
        <v>150</v>
      </c>
      <c r="AC63" s="116">
        <v>300</v>
      </c>
      <c r="AD63" s="116">
        <v>500</v>
      </c>
      <c r="AE63" s="116">
        <v>1000</v>
      </c>
      <c r="AF63" s="116">
        <v>2000</v>
      </c>
      <c r="AG63" s="116" t="e">
        <v>#VALUE!</v>
      </c>
      <c r="AH63" s="116" t="e">
        <v>#VALUE!</v>
      </c>
      <c r="AI63" s="116" t="e">
        <v>#VALUE!</v>
      </c>
      <c r="AJ63" s="116" t="e">
        <v>#VALUE!</v>
      </c>
      <c r="AK63" s="116" t="e">
        <v>#VALUE!</v>
      </c>
      <c r="AL63" s="154"/>
      <c r="AM63" s="152" t="s">
        <v>548</v>
      </c>
      <c r="AN63" s="99">
        <v>20</v>
      </c>
    </row>
    <row r="64" spans="1:40" ht="12.75">
      <c r="A64" t="s">
        <v>93</v>
      </c>
      <c r="B64" t="s">
        <v>72</v>
      </c>
      <c r="C64" t="s">
        <v>166</v>
      </c>
      <c r="D64">
        <v>125</v>
      </c>
      <c r="E64">
        <v>45</v>
      </c>
      <c r="F64">
        <f>E64+3*Investments!$C$7+Investments!$C$16+Investments!$C$17</f>
        <v>113</v>
      </c>
      <c r="G64" t="str">
        <f>30+10*Investments!$C$7&amp;" feet"</f>
        <v>180 feet</v>
      </c>
      <c r="H64" t="s">
        <v>629</v>
      </c>
      <c r="I64" t="s">
        <v>623</v>
      </c>
      <c r="J64" t="str">
        <f>25+Investments!$C$7&amp;"% chance of indentifying the fumes or vapors."</f>
        <v>40% chance of indentifying the fumes or vapors.</v>
      </c>
      <c r="Z64" s="122" t="s">
        <v>570</v>
      </c>
      <c r="AA64" s="116">
        <v>150</v>
      </c>
      <c r="AB64" s="116">
        <v>300</v>
      </c>
      <c r="AC64" s="116">
        <v>800</v>
      </c>
      <c r="AD64" s="116">
        <v>1700</v>
      </c>
      <c r="AE64" s="116">
        <v>3100</v>
      </c>
      <c r="AF64" s="116">
        <v>5100</v>
      </c>
      <c r="AG64" s="116">
        <v>8600</v>
      </c>
      <c r="AH64" s="116">
        <v>12600</v>
      </c>
      <c r="AI64" s="116">
        <v>17600</v>
      </c>
      <c r="AJ64" s="116">
        <v>22600</v>
      </c>
      <c r="AK64" s="116">
        <v>28600</v>
      </c>
      <c r="AL64" s="154"/>
      <c r="AM64" s="152" t="s">
        <v>715</v>
      </c>
      <c r="AN64" s="99">
        <f>15/20</f>
        <v>0.75</v>
      </c>
    </row>
    <row r="65" spans="1:40" ht="12.75">
      <c r="A65" t="s">
        <v>93</v>
      </c>
      <c r="B65" t="s">
        <v>74</v>
      </c>
      <c r="C65" t="s">
        <v>167</v>
      </c>
      <c r="D65">
        <v>200</v>
      </c>
      <c r="E65">
        <v>40</v>
      </c>
      <c r="F65">
        <f>E65+3*Investments!$C$7+Investments!$C$16+Investments!$C$17</f>
        <v>108</v>
      </c>
      <c r="G65" t="str">
        <f>30+30*Investments!$C$7&amp;" feet"</f>
        <v>480 feet</v>
      </c>
      <c r="H65" t="str">
        <f>10+10*Investments!$C$7&amp;" seconds"</f>
        <v>160 seconds</v>
      </c>
      <c r="I65" t="str">
        <f>"[D-6] + "&amp;ROUNDDOWN(Investments!$C$7/2,0)</f>
        <v>[D-6] + 7</v>
      </c>
      <c r="J65" t="str">
        <f>"Creates wind storm within a "&amp;30+30*Investments!$C$7&amp;" foot radius."</f>
        <v>Creates wind storm within a 480 foot radius.</v>
      </c>
      <c r="Z65" s="122" t="s">
        <v>571</v>
      </c>
      <c r="AA65" s="116">
        <v>75</v>
      </c>
      <c r="AB65" s="116">
        <v>150</v>
      </c>
      <c r="AC65" s="116">
        <v>300</v>
      </c>
      <c r="AD65" s="116">
        <v>500</v>
      </c>
      <c r="AE65" s="116">
        <v>1000</v>
      </c>
      <c r="AF65" s="116">
        <v>2000</v>
      </c>
      <c r="AG65" s="116">
        <v>4000</v>
      </c>
      <c r="AH65" s="116">
        <v>8000</v>
      </c>
      <c r="AI65" s="116">
        <v>12000</v>
      </c>
      <c r="AJ65" s="116">
        <v>15000</v>
      </c>
      <c r="AK65" s="116" t="e">
        <v>#VALUE!</v>
      </c>
      <c r="AL65" s="154"/>
      <c r="AM65" s="152" t="s">
        <v>549</v>
      </c>
      <c r="AN65" s="99">
        <v>3</v>
      </c>
    </row>
    <row r="66" spans="1:40" ht="12.75">
      <c r="A66" t="s">
        <v>93</v>
      </c>
      <c r="B66" t="s">
        <v>75</v>
      </c>
      <c r="C66" t="s">
        <v>168</v>
      </c>
      <c r="D66">
        <v>200</v>
      </c>
      <c r="E66">
        <v>40</v>
      </c>
      <c r="F66">
        <f>E66+3*Investments!$C$7+Investments!$C$16+Investments!$C$17</f>
        <v>108</v>
      </c>
      <c r="G66" t="s">
        <v>635</v>
      </c>
      <c r="H66" t="s">
        <v>685</v>
      </c>
      <c r="I66" t="s">
        <v>623</v>
      </c>
      <c r="J66" t="str">
        <f>"Storm will arrive within 3*D10 - "&amp;Investments!$C$7&amp;" minutes."</f>
        <v>Storm will arrive within 3*D10 - 15 minutes.</v>
      </c>
      <c r="Z66" s="122" t="s">
        <v>572</v>
      </c>
      <c r="AA66" s="116">
        <v>300</v>
      </c>
      <c r="AB66" s="116">
        <v>500</v>
      </c>
      <c r="AC66" s="116">
        <v>1000</v>
      </c>
      <c r="AD66" s="116">
        <v>2000</v>
      </c>
      <c r="AE66" s="116">
        <v>4000</v>
      </c>
      <c r="AF66" s="116">
        <v>6000</v>
      </c>
      <c r="AG66" s="116">
        <v>8000</v>
      </c>
      <c r="AH66" s="116">
        <v>10000</v>
      </c>
      <c r="AI66" s="116">
        <v>13000</v>
      </c>
      <c r="AJ66" s="116" t="e">
        <v>#VALUE!</v>
      </c>
      <c r="AK66" s="116" t="e">
        <v>#VALUE!</v>
      </c>
      <c r="AL66" s="154"/>
      <c r="AM66" s="152" t="s">
        <v>550</v>
      </c>
      <c r="AN66" s="189">
        <v>35</v>
      </c>
    </row>
    <row r="67" spans="1:40" ht="12.75">
      <c r="A67" t="s">
        <v>93</v>
      </c>
      <c r="B67" t="s">
        <v>76</v>
      </c>
      <c r="C67" t="s">
        <v>169</v>
      </c>
      <c r="D67">
        <v>225</v>
      </c>
      <c r="E67">
        <v>15</v>
      </c>
      <c r="F67">
        <f>E67+3*Investments!$C$7+Investments!$C$16+Investments!$C$17</f>
        <v>83</v>
      </c>
      <c r="G67" t="str">
        <f>15+5*Investments!$C$7&amp;" feet"</f>
        <v>90 feet</v>
      </c>
      <c r="H67" t="str">
        <f>10+10*Investments!$C$7&amp;" minutes"</f>
        <v>160 minutes</v>
      </c>
      <c r="I67" t="s">
        <v>623</v>
      </c>
      <c r="J67" t="str">
        <f>"Can create "&amp;10+10*Investments!$C$7&amp;" cubic feet of ice in any shape."</f>
        <v>Can create 160 cubic feet of ice in any shape.</v>
      </c>
      <c r="Z67" s="122" t="s">
        <v>573</v>
      </c>
      <c r="AA67" s="116">
        <v>75</v>
      </c>
      <c r="AB67" s="116">
        <v>150</v>
      </c>
      <c r="AC67" s="116">
        <v>300</v>
      </c>
      <c r="AD67" s="116">
        <v>500</v>
      </c>
      <c r="AE67" s="116">
        <v>1000</v>
      </c>
      <c r="AF67" s="116">
        <v>2000</v>
      </c>
      <c r="AG67" s="116">
        <v>4000</v>
      </c>
      <c r="AH67" s="116">
        <v>8000</v>
      </c>
      <c r="AI67" s="116">
        <v>12000</v>
      </c>
      <c r="AJ67" s="116">
        <v>15000</v>
      </c>
      <c r="AK67" s="116" t="e">
        <v>#VALUE!</v>
      </c>
      <c r="AL67" s="154"/>
      <c r="AM67" s="152" t="s">
        <v>551</v>
      </c>
      <c r="AN67" s="99">
        <v>0.1</v>
      </c>
    </row>
    <row r="68" spans="1:40" ht="12.75">
      <c r="A68" t="s">
        <v>93</v>
      </c>
      <c r="B68" t="s">
        <v>77</v>
      </c>
      <c r="C68" t="s">
        <v>170</v>
      </c>
      <c r="D68">
        <v>200</v>
      </c>
      <c r="E68">
        <v>20</v>
      </c>
      <c r="F68">
        <f>E68+3*Investments!$C$7+Investments!$C$16+Investments!$C$17</f>
        <v>88</v>
      </c>
      <c r="G68" t="str">
        <f>1+1*Investments!$C$7&amp;" miles"</f>
        <v>16 miles</v>
      </c>
      <c r="H68" t="str">
        <f>1+Investments!$C$7&amp;" hours Max (Concentration)"</f>
        <v>16 hours Max (Concentration)</v>
      </c>
      <c r="I68" t="s">
        <v>623</v>
      </c>
      <c r="J68" t="str">
        <f>"Can control up to "&amp;1+Investments!$C$7&amp;" avians."</f>
        <v>Can control up to 16 avians.</v>
      </c>
      <c r="Z68" s="122" t="s">
        <v>574</v>
      </c>
      <c r="AA68" s="116">
        <v>100</v>
      </c>
      <c r="AB68" s="116">
        <v>200</v>
      </c>
      <c r="AC68" s="116">
        <v>400</v>
      </c>
      <c r="AD68" s="116">
        <v>800</v>
      </c>
      <c r="AE68" s="116">
        <v>1500</v>
      </c>
      <c r="AF68" s="116">
        <v>3000</v>
      </c>
      <c r="AG68" s="116">
        <v>6000</v>
      </c>
      <c r="AH68" s="116">
        <v>9000</v>
      </c>
      <c r="AI68" s="116">
        <v>12000</v>
      </c>
      <c r="AJ68" s="116" t="e">
        <v>#VALUE!</v>
      </c>
      <c r="AK68" s="116" t="e">
        <v>#VALUE!</v>
      </c>
      <c r="AL68" s="154"/>
      <c r="AM68" s="152" t="s">
        <v>552</v>
      </c>
      <c r="AN68" s="99">
        <v>40</v>
      </c>
    </row>
    <row r="69" spans="1:40" ht="12.75">
      <c r="A69" t="s">
        <v>93</v>
      </c>
      <c r="B69" t="s">
        <v>78</v>
      </c>
      <c r="C69" t="s">
        <v>171</v>
      </c>
      <c r="D69">
        <v>250</v>
      </c>
      <c r="E69">
        <v>30</v>
      </c>
      <c r="F69">
        <f>E69+3*Investments!$C$7+Investments!$C$16+Investments!$C$17</f>
        <v>98</v>
      </c>
      <c r="G69" t="str">
        <f>10+10*Investments!$C$7&amp;" feet"</f>
        <v>160 feet</v>
      </c>
      <c r="H69" t="str">
        <f>30+30*Investments!$C$7&amp;" seconds"</f>
        <v>480 seconds</v>
      </c>
      <c r="I69" t="str">
        <f>"[D-4] + "&amp;Investments!$C$7</f>
        <v>[D-4] + 15</v>
      </c>
      <c r="J69" t="str">
        <f>"Conditions exist within a "&amp;10+Investments!$C$7&amp;" foot cube.  Fire creatures suffer [D-1] + "&amp;Investments!$C$7&amp;" damage."</f>
        <v>Conditions exist within a 25 foot cube.  Fire creatures suffer [D-1] + 15 damage.</v>
      </c>
      <c r="Z69" s="122" t="s">
        <v>575</v>
      </c>
      <c r="AA69" s="116">
        <v>200</v>
      </c>
      <c r="AB69" s="116">
        <v>400</v>
      </c>
      <c r="AC69" s="116">
        <v>600</v>
      </c>
      <c r="AD69" s="116">
        <v>800</v>
      </c>
      <c r="AE69" s="116">
        <v>1000</v>
      </c>
      <c r="AF69" s="116">
        <v>1500</v>
      </c>
      <c r="AG69" s="116">
        <v>2000</v>
      </c>
      <c r="AH69" s="116">
        <v>4000</v>
      </c>
      <c r="AI69" s="116">
        <v>8000</v>
      </c>
      <c r="AJ69" s="116">
        <v>12000</v>
      </c>
      <c r="AK69" s="116">
        <v>15000</v>
      </c>
      <c r="AL69" s="154"/>
      <c r="AM69" s="152" t="s">
        <v>583</v>
      </c>
      <c r="AN69" s="188">
        <v>20</v>
      </c>
    </row>
    <row r="70" spans="1:40" ht="12.75">
      <c r="A70" t="s">
        <v>93</v>
      </c>
      <c r="B70" t="s">
        <v>79</v>
      </c>
      <c r="C70" t="s">
        <v>172</v>
      </c>
      <c r="D70">
        <v>300</v>
      </c>
      <c r="E70">
        <v>30</v>
      </c>
      <c r="F70">
        <f>E70+3*Investments!$C$7+Investments!$C$16+Investments!$C$17</f>
        <v>98</v>
      </c>
      <c r="G70" t="str">
        <f>25+5*Investments!$C$7&amp;" feet"</f>
        <v>100 feet</v>
      </c>
      <c r="H70" t="s">
        <v>629</v>
      </c>
      <c r="I70" t="str">
        <f>"[D-3] + "&amp;Investments!$C$7</f>
        <v>[D-3] + 15</v>
      </c>
      <c r="Z70" s="122" t="s">
        <v>576</v>
      </c>
      <c r="AA70" s="116">
        <v>30</v>
      </c>
      <c r="AB70" s="116">
        <v>70</v>
      </c>
      <c r="AC70" s="116">
        <v>120</v>
      </c>
      <c r="AD70" s="116">
        <v>220</v>
      </c>
      <c r="AE70" s="116">
        <v>420</v>
      </c>
      <c r="AF70" s="116">
        <v>820</v>
      </c>
      <c r="AG70" s="116">
        <v>1520</v>
      </c>
      <c r="AH70" s="116">
        <v>3020</v>
      </c>
      <c r="AI70" s="116">
        <v>6020</v>
      </c>
      <c r="AJ70" s="116">
        <v>12020</v>
      </c>
      <c r="AK70" s="116" t="e">
        <v>#VALUE!</v>
      </c>
      <c r="AL70" s="154"/>
      <c r="AM70" s="152" t="s">
        <v>553</v>
      </c>
      <c r="AN70" s="99">
        <v>2</v>
      </c>
    </row>
    <row r="71" spans="1:40" ht="12.75">
      <c r="A71" t="s">
        <v>93</v>
      </c>
      <c r="B71" t="s">
        <v>80</v>
      </c>
      <c r="C71" t="s">
        <v>646</v>
      </c>
      <c r="D71">
        <v>225</v>
      </c>
      <c r="E71">
        <v>30</v>
      </c>
      <c r="F71">
        <f>E71+3*Investments!$C$7+Investments!$C$16+Investments!$C$17</f>
        <v>98</v>
      </c>
      <c r="G71" t="s">
        <v>647</v>
      </c>
      <c r="H71" t="s">
        <v>629</v>
      </c>
      <c r="I71" t="str">
        <f>"D + "&amp;5+ROUNDUP(Investments!$C$7/3,0)</f>
        <v>D + 10</v>
      </c>
      <c r="J71" t="s">
        <v>648</v>
      </c>
      <c r="Z71" s="122" t="s">
        <v>577</v>
      </c>
      <c r="AA71" s="116">
        <v>75</v>
      </c>
      <c r="AB71" s="116">
        <v>150</v>
      </c>
      <c r="AC71" s="116">
        <v>300</v>
      </c>
      <c r="AD71" s="116">
        <v>500</v>
      </c>
      <c r="AE71" s="116">
        <v>1000</v>
      </c>
      <c r="AF71" s="116">
        <v>2000</v>
      </c>
      <c r="AG71" s="116">
        <v>4000</v>
      </c>
      <c r="AH71" s="116">
        <v>8000</v>
      </c>
      <c r="AI71" s="116">
        <v>12000</v>
      </c>
      <c r="AJ71" s="116">
        <v>15000</v>
      </c>
      <c r="AK71" s="116" t="e">
        <v>#VALUE!</v>
      </c>
      <c r="AL71" s="154"/>
      <c r="AM71" s="152" t="s">
        <v>554</v>
      </c>
      <c r="AN71" s="99">
        <v>60</v>
      </c>
    </row>
    <row r="72" spans="1:40" ht="12.75">
      <c r="A72" t="s">
        <v>93</v>
      </c>
      <c r="B72" t="s">
        <v>81</v>
      </c>
      <c r="C72" t="s">
        <v>173</v>
      </c>
      <c r="D72">
        <v>350</v>
      </c>
      <c r="E72">
        <v>20</v>
      </c>
      <c r="F72">
        <f>E72+3*Investments!$C$7+Investments!$C$16+Investments!$C$17</f>
        <v>88</v>
      </c>
      <c r="G72" t="s">
        <v>649</v>
      </c>
      <c r="H72" t="str">
        <f>IF(Investments!$C$7&lt;4,"1 week",IF(Investments!$C$7&lt;9,"1 month",IF(Investments!$C$7&lt;12,"3 months",IF(Investments!$C$7&lt;20,"6 months","Any duraction"))))</f>
        <v>6 months</v>
      </c>
      <c r="I72" t="s">
        <v>623</v>
      </c>
      <c r="Z72" s="122" t="s">
        <v>578</v>
      </c>
      <c r="AA72" s="116">
        <v>150</v>
      </c>
      <c r="AB72" s="116">
        <v>300</v>
      </c>
      <c r="AC72" s="116">
        <v>800</v>
      </c>
      <c r="AD72" s="116">
        <v>1700</v>
      </c>
      <c r="AE72" s="116">
        <v>3100</v>
      </c>
      <c r="AF72" s="116">
        <v>5100</v>
      </c>
      <c r="AG72" s="116">
        <v>8600</v>
      </c>
      <c r="AH72" s="116">
        <v>12600</v>
      </c>
      <c r="AI72" s="116">
        <v>17600</v>
      </c>
      <c r="AJ72" s="116">
        <v>22600</v>
      </c>
      <c r="AK72" s="116">
        <v>28600</v>
      </c>
      <c r="AL72" s="154"/>
      <c r="AM72" s="152" t="s">
        <v>555</v>
      </c>
      <c r="AN72" s="188">
        <v>15</v>
      </c>
    </row>
    <row r="73" spans="1:40" ht="12.75">
      <c r="A73" t="s">
        <v>93</v>
      </c>
      <c r="B73" t="s">
        <v>82</v>
      </c>
      <c r="C73" t="s">
        <v>174</v>
      </c>
      <c r="D73">
        <v>250</v>
      </c>
      <c r="E73">
        <v>30</v>
      </c>
      <c r="F73">
        <f>E73+3*Investments!$C$7+Investments!$C$16+Investments!$C$17</f>
        <v>98</v>
      </c>
      <c r="G73" t="str">
        <f>5+5*Investments!$C$7&amp;" feet"</f>
        <v>80 feet</v>
      </c>
      <c r="H73" t="str">
        <f>"[D - 5] * "&amp;20*Investments!$C$7&amp;" seconds"</f>
        <v>[D - 5] * 300 seconds</v>
      </c>
      <c r="I73" s="139" t="str">
        <f>"+"&amp;ROUNDUP(Investments!$C$7/3,0)</f>
        <v>+5</v>
      </c>
      <c r="J73" t="str">
        <f>"Strike Chance increased by "&amp;1+Investments!$C$7&amp;"%.  Fire characters suffer +"&amp;Investments!$C$7&amp;" damage."</f>
        <v>Strike Chance increased by 16%.  Fire characters suffer +15 damage.</v>
      </c>
      <c r="Z73" s="122" t="s">
        <v>579</v>
      </c>
      <c r="AA73" s="116">
        <v>50</v>
      </c>
      <c r="AB73" s="116">
        <v>100</v>
      </c>
      <c r="AC73" s="116">
        <v>200</v>
      </c>
      <c r="AD73" s="116">
        <v>400</v>
      </c>
      <c r="AE73" s="116">
        <v>600</v>
      </c>
      <c r="AF73" s="116">
        <v>800</v>
      </c>
      <c r="AG73" s="116">
        <v>1300</v>
      </c>
      <c r="AH73" s="116">
        <v>2100</v>
      </c>
      <c r="AI73" s="116">
        <v>3600</v>
      </c>
      <c r="AJ73" s="116">
        <v>6600</v>
      </c>
      <c r="AK73" s="116" t="e">
        <v>#VALUE!</v>
      </c>
      <c r="AL73" s="154"/>
      <c r="AM73" s="192" t="s">
        <v>596</v>
      </c>
      <c r="AN73" s="188">
        <v>500</v>
      </c>
    </row>
    <row r="74" spans="1:40" ht="12.75">
      <c r="A74" t="s">
        <v>93</v>
      </c>
      <c r="B74" t="s">
        <v>83</v>
      </c>
      <c r="C74" t="s">
        <v>175</v>
      </c>
      <c r="D74">
        <v>300</v>
      </c>
      <c r="E74">
        <v>20</v>
      </c>
      <c r="F74">
        <f>E74+3*Investments!$C$7+Investments!$C$16+Investments!$C$17</f>
        <v>88</v>
      </c>
      <c r="G74" t="s">
        <v>634</v>
      </c>
      <c r="H74" t="str">
        <f>30+30*Investments!$C$7&amp;" seconds"</f>
        <v>480 seconds</v>
      </c>
      <c r="I74" t="s">
        <v>623</v>
      </c>
      <c r="J74" t="str">
        <f>"Defense increased by "&amp;5+Investments!$C$7&amp;"% in Melee Combat and by "&amp;5+2*Investments!$C$7&amp;"% for Ranged Combat."</f>
        <v>Defense increased by 20% in Melee Combat and by 35% for Ranged Combat.</v>
      </c>
      <c r="Z74" s="122" t="s">
        <v>580</v>
      </c>
      <c r="AA74" s="116">
        <v>75</v>
      </c>
      <c r="AB74" s="116">
        <v>150</v>
      </c>
      <c r="AC74" s="116">
        <v>300</v>
      </c>
      <c r="AD74" s="116">
        <v>500</v>
      </c>
      <c r="AE74" s="116">
        <v>1000</v>
      </c>
      <c r="AF74" s="116">
        <v>2000</v>
      </c>
      <c r="AG74" s="116">
        <v>4000</v>
      </c>
      <c r="AH74" s="116">
        <v>8000</v>
      </c>
      <c r="AI74" s="116">
        <v>12000</v>
      </c>
      <c r="AJ74" s="116">
        <v>15000</v>
      </c>
      <c r="AK74" s="116" t="e">
        <v>#VALUE!</v>
      </c>
      <c r="AL74" s="154"/>
      <c r="AM74" s="152" t="s">
        <v>706</v>
      </c>
      <c r="AN74" s="99">
        <v>5</v>
      </c>
    </row>
    <row r="75" spans="1:40" ht="12.75">
      <c r="A75" t="s">
        <v>93</v>
      </c>
      <c r="B75" t="s">
        <v>84</v>
      </c>
      <c r="C75" t="s">
        <v>176</v>
      </c>
      <c r="D75">
        <v>300</v>
      </c>
      <c r="E75">
        <v>2</v>
      </c>
      <c r="F75">
        <f>E75+3*Investments!$C$7+Investments!$C$16+Investments!$C$17</f>
        <v>70</v>
      </c>
      <c r="G75" t="s">
        <v>638</v>
      </c>
      <c r="H75" t="str">
        <f>1+Investments!$C$7&amp;" hours Max (Concentration)"</f>
        <v>16 hours Max (Concentration)</v>
      </c>
      <c r="I75" t="s">
        <v>623</v>
      </c>
      <c r="Z75" s="122" t="s">
        <v>581</v>
      </c>
      <c r="AA75" s="116">
        <v>100</v>
      </c>
      <c r="AB75" s="116">
        <v>200</v>
      </c>
      <c r="AC75" s="116">
        <v>400</v>
      </c>
      <c r="AD75" s="116">
        <v>800</v>
      </c>
      <c r="AE75" s="116">
        <v>1500</v>
      </c>
      <c r="AF75" s="116">
        <v>3000</v>
      </c>
      <c r="AG75" s="116">
        <v>6000</v>
      </c>
      <c r="AH75" s="116">
        <v>9000</v>
      </c>
      <c r="AI75" s="116">
        <v>12000</v>
      </c>
      <c r="AJ75" s="116" t="e">
        <v>#VALUE!</v>
      </c>
      <c r="AK75" s="116" t="e">
        <v>#VALUE!</v>
      </c>
      <c r="AL75" s="154"/>
      <c r="AM75" s="152" t="s">
        <v>709</v>
      </c>
      <c r="AN75" s="99">
        <v>15</v>
      </c>
    </row>
    <row r="76" spans="1:40" ht="12.75">
      <c r="A76" t="s">
        <v>93</v>
      </c>
      <c r="B76" t="s">
        <v>85</v>
      </c>
      <c r="C76" t="s">
        <v>177</v>
      </c>
      <c r="D76">
        <v>150</v>
      </c>
      <c r="E76">
        <v>15</v>
      </c>
      <c r="F76">
        <f>E76+3*Investments!$C$7+Investments!$C$16+Investments!$C$17</f>
        <v>83</v>
      </c>
      <c r="G76" t="str">
        <f>20+10*Investments!$C$7&amp;" feet"</f>
        <v>170 feet</v>
      </c>
      <c r="H76" t="str">
        <f>10+10*Investments!$C$7&amp;" minutes"</f>
        <v>160 minutes</v>
      </c>
      <c r="I76" t="s">
        <v>623</v>
      </c>
      <c r="Z76" s="122" t="s">
        <v>582</v>
      </c>
      <c r="AA76" s="116">
        <v>100</v>
      </c>
      <c r="AB76" s="116">
        <v>200</v>
      </c>
      <c r="AC76" s="116">
        <v>400</v>
      </c>
      <c r="AD76" s="116">
        <v>800</v>
      </c>
      <c r="AE76" s="116">
        <v>1500</v>
      </c>
      <c r="AF76" s="116">
        <v>3000</v>
      </c>
      <c r="AG76" s="116">
        <v>6000</v>
      </c>
      <c r="AH76" s="116">
        <v>9000</v>
      </c>
      <c r="AI76" s="116">
        <v>12000</v>
      </c>
      <c r="AJ76" s="116" t="e">
        <v>#VALUE!</v>
      </c>
      <c r="AK76" s="116" t="e">
        <v>#VALUE!</v>
      </c>
      <c r="AL76" s="154"/>
      <c r="AM76" s="152" t="s">
        <v>708</v>
      </c>
      <c r="AN76" s="99">
        <v>10</v>
      </c>
    </row>
    <row r="77" spans="1:40" ht="12.75">
      <c r="A77" t="s">
        <v>93</v>
      </c>
      <c r="B77" t="s">
        <v>86</v>
      </c>
      <c r="C77" t="s">
        <v>178</v>
      </c>
      <c r="D77">
        <v>300</v>
      </c>
      <c r="E77">
        <v>30</v>
      </c>
      <c r="F77">
        <f>E77+3*Investments!$C$7+Investments!$C$16+Investments!$C$17</f>
        <v>98</v>
      </c>
      <c r="G77" t="str">
        <f>35+10*Investments!$C$7&amp;" feet"</f>
        <v>185 feet</v>
      </c>
      <c r="H77" t="s">
        <v>629</v>
      </c>
      <c r="I77" t="str">
        <f>"[D-1] + "&amp;Investments!$C$7</f>
        <v>[D-1] + 15</v>
      </c>
      <c r="Z77" s="122" t="s">
        <v>583</v>
      </c>
      <c r="AA77" s="116">
        <v>50</v>
      </c>
      <c r="AB77" s="116">
        <v>100</v>
      </c>
      <c r="AC77" s="116">
        <v>200</v>
      </c>
      <c r="AD77" s="116">
        <v>400</v>
      </c>
      <c r="AE77" s="116">
        <v>800</v>
      </c>
      <c r="AF77" s="116">
        <v>1900</v>
      </c>
      <c r="AG77" s="116">
        <v>3400</v>
      </c>
      <c r="AH77" s="116">
        <v>6400</v>
      </c>
      <c r="AI77" s="116">
        <v>9400</v>
      </c>
      <c r="AJ77" s="116">
        <v>12400</v>
      </c>
      <c r="AK77" s="116">
        <v>16400</v>
      </c>
      <c r="AL77" s="154"/>
      <c r="AM77" s="152" t="s">
        <v>707</v>
      </c>
      <c r="AN77" s="99">
        <v>8</v>
      </c>
    </row>
    <row r="78" spans="1:40" ht="12.75">
      <c r="A78" t="s">
        <v>93</v>
      </c>
      <c r="B78" t="s">
        <v>98</v>
      </c>
      <c r="C78" t="s">
        <v>179</v>
      </c>
      <c r="D78">
        <v>450</v>
      </c>
      <c r="E78">
        <v>5</v>
      </c>
      <c r="F78">
        <f>E78+3*Investments!$C$7+Investments!$C$16+Investments!$C$17</f>
        <v>73</v>
      </c>
      <c r="G78" t="str">
        <f>30+10*Investments!$C$7&amp;" feet"</f>
        <v>180 feet</v>
      </c>
      <c r="H78" t="str">
        <f>5+5*Investments!$C$7&amp;" minutes"</f>
        <v>80 minutes</v>
      </c>
      <c r="I78" t="str">
        <f>"[D-3] + "&amp;Investments!$C$7</f>
        <v>[D-3] + 15</v>
      </c>
      <c r="J78" t="str">
        <f>"Create "&amp;20+10*Investments!$C$7&amp;" cubic feet of gas."</f>
        <v>Create 170 cubic feet of gas.</v>
      </c>
      <c r="Z78" s="122" t="s">
        <v>584</v>
      </c>
      <c r="AA78" s="116">
        <v>200</v>
      </c>
      <c r="AB78" s="116">
        <v>300</v>
      </c>
      <c r="AC78" s="116">
        <v>500</v>
      </c>
      <c r="AD78" s="116">
        <v>1000</v>
      </c>
      <c r="AE78" s="116">
        <v>2000</v>
      </c>
      <c r="AF78" s="116">
        <v>4000</v>
      </c>
      <c r="AG78" s="116">
        <v>6000</v>
      </c>
      <c r="AH78" s="116">
        <v>8000</v>
      </c>
      <c r="AI78" s="116">
        <v>10000</v>
      </c>
      <c r="AJ78" s="116">
        <v>12000</v>
      </c>
      <c r="AK78" s="116">
        <v>14000</v>
      </c>
      <c r="AL78" s="154"/>
      <c r="AM78" s="152" t="s">
        <v>710</v>
      </c>
      <c r="AN78" s="99">
        <v>20</v>
      </c>
    </row>
    <row r="79" spans="1:40" ht="12.75">
      <c r="A79" t="s">
        <v>93</v>
      </c>
      <c r="B79" t="s">
        <v>99</v>
      </c>
      <c r="C79" t="s">
        <v>180</v>
      </c>
      <c r="D79">
        <v>425</v>
      </c>
      <c r="E79">
        <v>20</v>
      </c>
      <c r="F79">
        <f>E79+3*Investments!$C$7+Investments!$C$16+Investments!$C$17</f>
        <v>88</v>
      </c>
      <c r="G79" t="str">
        <f>10+10*Investments!$C$7&amp;" feet"</f>
        <v>160 feet</v>
      </c>
      <c r="H79" t="str">
        <f>30+30*Investments!$C$7&amp;" seconds"</f>
        <v>480 seconds</v>
      </c>
      <c r="I79" t="s">
        <v>623</v>
      </c>
      <c r="Z79" s="122" t="s">
        <v>585</v>
      </c>
      <c r="AA79" s="116">
        <v>25</v>
      </c>
      <c r="AB79" s="116">
        <v>50</v>
      </c>
      <c r="AC79" s="116">
        <v>100</v>
      </c>
      <c r="AD79" s="116">
        <v>200</v>
      </c>
      <c r="AE79" s="116">
        <v>400</v>
      </c>
      <c r="AF79" s="116">
        <v>800</v>
      </c>
      <c r="AG79" s="116">
        <v>1500</v>
      </c>
      <c r="AH79" s="116">
        <v>3000</v>
      </c>
      <c r="AI79" s="116">
        <v>6000</v>
      </c>
      <c r="AJ79" s="116">
        <v>10000</v>
      </c>
      <c r="AK79" s="116" t="e">
        <v>#VALUE!</v>
      </c>
      <c r="AL79" s="154"/>
      <c r="AM79" s="152" t="s">
        <v>557</v>
      </c>
      <c r="AN79" s="189">
        <v>20</v>
      </c>
    </row>
    <row r="80" spans="1:40" ht="12.75">
      <c r="A80" t="s">
        <v>93</v>
      </c>
      <c r="B80" t="s">
        <v>100</v>
      </c>
      <c r="C80" t="s">
        <v>181</v>
      </c>
      <c r="D80">
        <v>650</v>
      </c>
      <c r="E80">
        <v>1</v>
      </c>
      <c r="F80">
        <f>E80+3*Investments!$C$7+Investments!$C$16+Investments!$C$17</f>
        <v>69</v>
      </c>
      <c r="G80" t="str">
        <f>15+15*Investments!$C$7&amp;" feet"</f>
        <v>240 feet</v>
      </c>
      <c r="H80" t="s">
        <v>629</v>
      </c>
      <c r="I80" t="str">
        <f>"[D-4] + "&amp;Investments!$C$7</f>
        <v>[D-4] + 15</v>
      </c>
      <c r="J80" t="s">
        <v>651</v>
      </c>
      <c r="Z80" s="122" t="s">
        <v>586</v>
      </c>
      <c r="AA80" s="116">
        <v>25</v>
      </c>
      <c r="AB80" s="116">
        <v>75</v>
      </c>
      <c r="AC80" s="116">
        <v>150</v>
      </c>
      <c r="AD80" s="116">
        <v>250</v>
      </c>
      <c r="AE80" s="116">
        <v>400</v>
      </c>
      <c r="AF80" s="116" t="e">
        <v>#VALUE!</v>
      </c>
      <c r="AG80" s="116" t="e">
        <v>#VALUE!</v>
      </c>
      <c r="AH80" s="116" t="e">
        <v>#VALUE!</v>
      </c>
      <c r="AI80" s="116" t="e">
        <v>#VALUE!</v>
      </c>
      <c r="AJ80" s="116" t="e">
        <v>#VALUE!</v>
      </c>
      <c r="AK80" s="116" t="e">
        <v>#VALUE!</v>
      </c>
      <c r="AL80" s="154"/>
      <c r="AM80" s="152" t="s">
        <v>558</v>
      </c>
      <c r="AN80" s="99">
        <v>40</v>
      </c>
    </row>
    <row r="81" spans="1:40" ht="12.75">
      <c r="A81" t="s">
        <v>93</v>
      </c>
      <c r="B81" t="s">
        <v>101</v>
      </c>
      <c r="C81" t="s">
        <v>182</v>
      </c>
      <c r="D81">
        <v>500</v>
      </c>
      <c r="E81">
        <v>1</v>
      </c>
      <c r="F81">
        <f>E81+3*Investments!$C$7+Investments!$C$16+Investments!$C$17</f>
        <v>69</v>
      </c>
      <c r="G81" t="str">
        <f>20+20*Investments!$C$7&amp;" feet"</f>
        <v>320 feet</v>
      </c>
      <c r="H81" t="s">
        <v>629</v>
      </c>
      <c r="I81" t="s">
        <v>650</v>
      </c>
      <c r="Z81" s="122" t="s">
        <v>587</v>
      </c>
      <c r="AA81" s="116">
        <v>25</v>
      </c>
      <c r="AB81" s="116">
        <v>100</v>
      </c>
      <c r="AC81" s="116">
        <v>250</v>
      </c>
      <c r="AD81" s="116">
        <v>550</v>
      </c>
      <c r="AE81" s="116">
        <v>1050</v>
      </c>
      <c r="AF81" s="116">
        <v>1750</v>
      </c>
      <c r="AG81" s="116" t="e">
        <v>#VALUE!</v>
      </c>
      <c r="AH81" s="116" t="e">
        <v>#VALUE!</v>
      </c>
      <c r="AI81" s="116" t="e">
        <v>#VALUE!</v>
      </c>
      <c r="AJ81" s="116" t="e">
        <v>#VALUE!</v>
      </c>
      <c r="AK81" s="116" t="e">
        <v>#VALUE!</v>
      </c>
      <c r="AL81" s="154"/>
      <c r="AM81" s="152" t="s">
        <v>716</v>
      </c>
      <c r="AN81" s="99">
        <f>4/20</f>
        <v>0.2</v>
      </c>
    </row>
    <row r="82" spans="1:40" ht="12.75">
      <c r="A82" t="s">
        <v>103</v>
      </c>
      <c r="B82" t="s">
        <v>64</v>
      </c>
      <c r="C82" t="s">
        <v>183</v>
      </c>
      <c r="D82">
        <v>75</v>
      </c>
      <c r="F82" s="138" t="str">
        <f>"PC + "&amp;5*Investments!$C$7+Investments!$C$16+Investments!$C$17</f>
        <v>PC + 98</v>
      </c>
      <c r="G82" t="str">
        <f>10+10*Investments!$C$7&amp;" miles"</f>
        <v>160 miles</v>
      </c>
      <c r="H82" t="s">
        <v>623</v>
      </c>
      <c r="I82" t="s">
        <v>623</v>
      </c>
      <c r="Z82" s="122" t="s">
        <v>588</v>
      </c>
      <c r="AA82" s="116">
        <v>75</v>
      </c>
      <c r="AB82" s="116">
        <v>150</v>
      </c>
      <c r="AC82" s="116">
        <v>300</v>
      </c>
      <c r="AD82" s="116">
        <v>500</v>
      </c>
      <c r="AE82" s="116">
        <v>1000</v>
      </c>
      <c r="AF82" s="116">
        <v>2000</v>
      </c>
      <c r="AG82" s="116">
        <v>4000</v>
      </c>
      <c r="AH82" s="116">
        <v>8000</v>
      </c>
      <c r="AI82" s="116">
        <v>12000</v>
      </c>
      <c r="AJ82" s="116">
        <v>15000</v>
      </c>
      <c r="AK82" s="116" t="e">
        <v>#VALUE!</v>
      </c>
      <c r="AL82" s="154"/>
      <c r="AM82" s="152" t="s">
        <v>584</v>
      </c>
      <c r="AN82" s="188">
        <v>1</v>
      </c>
    </row>
    <row r="83" spans="1:40" ht="12.75">
      <c r="A83" t="s">
        <v>103</v>
      </c>
      <c r="B83" t="s">
        <v>65</v>
      </c>
      <c r="C83" t="s">
        <v>184</v>
      </c>
      <c r="D83">
        <v>100</v>
      </c>
      <c r="E83">
        <v>30</v>
      </c>
      <c r="F83">
        <f>E83+3*Investments!$C$7+Investments!$C$16+Investments!$C$17</f>
        <v>98</v>
      </c>
      <c r="G83" t="str">
        <f>90+90*Investments!$C$7&amp;" feet"</f>
        <v>1440 feet</v>
      </c>
      <c r="H83" t="str">
        <f>15+15*Investments!$C$7&amp;" minutes"</f>
        <v>240 minutes</v>
      </c>
      <c r="I83" t="s">
        <v>623</v>
      </c>
      <c r="J83" t="str">
        <f>"Height of waves within range reduced by "&amp;1+Investments!$C$7&amp;" feet.  Height of swells reduced by "&amp;ROUNDDOWN(Investments!$C$7/2,0)&amp;" feet."</f>
        <v>Height of waves within range reduced by 16 feet.  Height of swells reduced by 7 feet.</v>
      </c>
      <c r="Z83" s="122" t="s">
        <v>589</v>
      </c>
      <c r="AA83" s="116">
        <v>200</v>
      </c>
      <c r="AB83" s="116">
        <v>400</v>
      </c>
      <c r="AC83" s="116">
        <v>600</v>
      </c>
      <c r="AD83" s="116">
        <v>800</v>
      </c>
      <c r="AE83" s="116">
        <v>1000</v>
      </c>
      <c r="AF83" s="116">
        <v>1500</v>
      </c>
      <c r="AG83" s="116">
        <v>2000</v>
      </c>
      <c r="AH83" s="116">
        <v>4000</v>
      </c>
      <c r="AI83" s="116">
        <v>8000</v>
      </c>
      <c r="AJ83" s="116">
        <v>12000</v>
      </c>
      <c r="AK83" s="116">
        <v>15000</v>
      </c>
      <c r="AL83" s="154"/>
      <c r="AM83" s="192" t="s">
        <v>595</v>
      </c>
      <c r="AN83" s="188">
        <v>200</v>
      </c>
    </row>
    <row r="84" spans="1:40" ht="12.75">
      <c r="A84" t="s">
        <v>103</v>
      </c>
      <c r="B84" t="s">
        <v>66</v>
      </c>
      <c r="C84" t="s">
        <v>185</v>
      </c>
      <c r="D84">
        <v>125</v>
      </c>
      <c r="E84">
        <v>25</v>
      </c>
      <c r="F84">
        <f>E84+3*Investments!$C$7+Investments!$C$16+Investments!$C$17</f>
        <v>93</v>
      </c>
      <c r="G84" t="str">
        <f>90+90*Investments!$C$7&amp;" feet"</f>
        <v>1440 feet</v>
      </c>
      <c r="H84" t="str">
        <f>15*Investments!$C$7&amp;" minutes"</f>
        <v>225 minutes</v>
      </c>
      <c r="I84" t="s">
        <v>623</v>
      </c>
      <c r="J84" t="str">
        <f>"Height of waves within range increased by "&amp;5+Investments!$C$7&amp;" feet.  Height of swells reduced by "&amp;2+ROUNDUP(Investments!$C$7/2,0)&amp;" feet."</f>
        <v>Height of waves within range increased by 20 feet.  Height of swells reduced by 10 feet.</v>
      </c>
      <c r="Z84" s="122" t="s">
        <v>590</v>
      </c>
      <c r="AA84" s="116">
        <v>50</v>
      </c>
      <c r="AB84" s="116">
        <v>100</v>
      </c>
      <c r="AC84" s="116">
        <v>200</v>
      </c>
      <c r="AD84" s="116">
        <v>400</v>
      </c>
      <c r="AE84" s="116">
        <v>800</v>
      </c>
      <c r="AF84" s="116">
        <v>1900</v>
      </c>
      <c r="AG84" s="116">
        <v>3400</v>
      </c>
      <c r="AH84" s="116">
        <v>6400</v>
      </c>
      <c r="AI84" s="116">
        <v>9400</v>
      </c>
      <c r="AJ84" s="116">
        <v>12400</v>
      </c>
      <c r="AK84" s="116">
        <v>16400</v>
      </c>
      <c r="AL84" s="154"/>
      <c r="AM84" s="152" t="s">
        <v>559</v>
      </c>
      <c r="AN84" s="99">
        <v>1</v>
      </c>
    </row>
    <row r="85" spans="1:40" ht="12.75">
      <c r="A85" t="s">
        <v>103</v>
      </c>
      <c r="B85" t="s">
        <v>67</v>
      </c>
      <c r="C85" t="s">
        <v>186</v>
      </c>
      <c r="D85">
        <v>100</v>
      </c>
      <c r="E85">
        <v>60</v>
      </c>
      <c r="F85">
        <f>E85+3*Investments!$C$7+Investments!$C$16+Investments!$C$17</f>
        <v>128</v>
      </c>
      <c r="G85" t="str">
        <f>15+10*Investments!$C$7&amp;" feet"</f>
        <v>165 feet</v>
      </c>
      <c r="H85" t="s">
        <v>626</v>
      </c>
      <c r="I85" t="s">
        <v>623</v>
      </c>
      <c r="Z85" s="122" t="s">
        <v>591</v>
      </c>
      <c r="AA85" s="116">
        <v>50</v>
      </c>
      <c r="AB85" s="116">
        <v>100</v>
      </c>
      <c r="AC85" s="116">
        <v>200</v>
      </c>
      <c r="AD85" s="116">
        <v>400</v>
      </c>
      <c r="AE85" s="116">
        <v>800</v>
      </c>
      <c r="AF85" s="116">
        <v>1600</v>
      </c>
      <c r="AG85" s="116">
        <v>3000</v>
      </c>
      <c r="AH85" s="116">
        <v>5000</v>
      </c>
      <c r="AI85" s="116">
        <v>7000</v>
      </c>
      <c r="AJ85" s="116">
        <v>9000</v>
      </c>
      <c r="AK85" s="116">
        <v>12000</v>
      </c>
      <c r="AL85" s="154"/>
      <c r="AM85" s="152" t="s">
        <v>560</v>
      </c>
      <c r="AN85" s="99">
        <v>10</v>
      </c>
    </row>
    <row r="86" spans="1:40" ht="13.5" thickBot="1">
      <c r="A86" t="s">
        <v>103</v>
      </c>
      <c r="B86" t="s">
        <v>68</v>
      </c>
      <c r="C86" t="s">
        <v>187</v>
      </c>
      <c r="D86">
        <v>75</v>
      </c>
      <c r="E86">
        <v>45</v>
      </c>
      <c r="F86">
        <f>E86+3*Investments!$C$7+Investments!$C$16+Investments!$C$17</f>
        <v>113</v>
      </c>
      <c r="G86" t="s">
        <v>638</v>
      </c>
      <c r="H86" t="str">
        <f>10+10*Investments!$C$7&amp;" minutes"</f>
        <v>160 minutes</v>
      </c>
      <c r="I86" t="s">
        <v>623</v>
      </c>
      <c r="J86" t="str">
        <f>"+50% to target's ability to swim.  Decreased target's chance of drowning by "&amp;5+Investments!$C$7&amp;"%."</f>
        <v>+50% to target's ability to swim.  Decreased target's chance of drowning by 20%.</v>
      </c>
      <c r="Z86" s="123" t="s">
        <v>592</v>
      </c>
      <c r="AA86" s="116">
        <v>25</v>
      </c>
      <c r="AB86" s="116">
        <v>25</v>
      </c>
      <c r="AC86" s="116">
        <v>50</v>
      </c>
      <c r="AD86" s="116">
        <v>100</v>
      </c>
      <c r="AE86" s="116">
        <v>200</v>
      </c>
      <c r="AF86" s="116">
        <v>400</v>
      </c>
      <c r="AG86" s="116">
        <v>700</v>
      </c>
      <c r="AH86" s="116">
        <v>1500</v>
      </c>
      <c r="AI86" s="116">
        <v>3000</v>
      </c>
      <c r="AJ86" s="116">
        <v>6000</v>
      </c>
      <c r="AK86" s="116" t="e">
        <v>#VALUE!</v>
      </c>
      <c r="AL86" s="154"/>
      <c r="AM86" s="152" t="s">
        <v>561</v>
      </c>
      <c r="AN86" s="189">
        <v>5</v>
      </c>
    </row>
    <row r="87" spans="1:40" ht="13.5" thickBot="1">
      <c r="A87" t="s">
        <v>103</v>
      </c>
      <c r="B87" t="s">
        <v>69</v>
      </c>
      <c r="C87" t="s">
        <v>188</v>
      </c>
      <c r="D87">
        <v>125</v>
      </c>
      <c r="E87">
        <v>15</v>
      </c>
      <c r="F87">
        <f>E87+3*Investments!$C$7+Investments!$C$16+Investments!$C$17</f>
        <v>83</v>
      </c>
      <c r="G87" t="s">
        <v>635</v>
      </c>
      <c r="H87" t="str">
        <f>1+Investments!$C$7&amp;" hours"</f>
        <v>16 hours</v>
      </c>
      <c r="I87" t="s">
        <v>623</v>
      </c>
      <c r="J87" t="str">
        <f>"Decreased chance of veering off course, running aground, etc. by "&amp;5+Investments!$C$7&amp;"%."</f>
        <v>Decreased chance of veering off course, running aground, etc. by 20%.</v>
      </c>
      <c r="Z87" s="122" t="s">
        <v>698</v>
      </c>
      <c r="AA87" s="145">
        <v>150</v>
      </c>
      <c r="AB87" s="145">
        <v>300</v>
      </c>
      <c r="AC87" s="145">
        <v>550</v>
      </c>
      <c r="AD87" s="145">
        <v>1050</v>
      </c>
      <c r="AE87" s="145">
        <v>1800</v>
      </c>
      <c r="AF87" s="146">
        <v>3300</v>
      </c>
      <c r="AG87" s="145">
        <v>6300</v>
      </c>
      <c r="AH87" s="145">
        <v>9300</v>
      </c>
      <c r="AI87" s="145">
        <v>12800</v>
      </c>
      <c r="AJ87" s="145" t="e">
        <v>#VALUE!</v>
      </c>
      <c r="AK87" s="145" t="e">
        <v>#VALUE!</v>
      </c>
      <c r="AL87" s="154"/>
      <c r="AM87" s="152" t="s">
        <v>585</v>
      </c>
      <c r="AN87" s="188">
        <v>10</v>
      </c>
    </row>
    <row r="88" spans="1:40" ht="12.75">
      <c r="A88" t="s">
        <v>103</v>
      </c>
      <c r="B88" t="s">
        <v>70</v>
      </c>
      <c r="C88" t="s">
        <v>189</v>
      </c>
      <c r="D88">
        <v>150</v>
      </c>
      <c r="E88">
        <v>40</v>
      </c>
      <c r="F88">
        <f>E88+3*Investments!$C$7+Investments!$C$16+Investments!$C$17</f>
        <v>108</v>
      </c>
      <c r="G88" t="s">
        <v>638</v>
      </c>
      <c r="H88" t="s">
        <v>629</v>
      </c>
      <c r="I88" t="s">
        <v>623</v>
      </c>
      <c r="J88" t="str">
        <f>"Turns "&amp;1+Investments!$C$7&amp;" quarts of salt water potable water."</f>
        <v>Turns 16 quarts of salt water potable water.</v>
      </c>
      <c r="Z88" s="124" t="s">
        <v>593</v>
      </c>
      <c r="AA88" s="116">
        <v>100</v>
      </c>
      <c r="AB88" s="116">
        <v>200</v>
      </c>
      <c r="AC88" s="116">
        <v>400</v>
      </c>
      <c r="AD88" s="116">
        <v>800</v>
      </c>
      <c r="AE88" s="116">
        <v>1600</v>
      </c>
      <c r="AF88" s="116" t="e">
        <v>#VALUE!</v>
      </c>
      <c r="AG88" s="116" t="e">
        <v>#VALUE!</v>
      </c>
      <c r="AH88" s="116" t="e">
        <v>#VALUE!</v>
      </c>
      <c r="AI88" s="116" t="e">
        <v>#VALUE!</v>
      </c>
      <c r="AJ88" s="116" t="e">
        <v>#VALUE!</v>
      </c>
      <c r="AK88" s="116" t="e">
        <v>#VALUE!</v>
      </c>
      <c r="AL88" s="154"/>
      <c r="AM88" s="152" t="s">
        <v>586</v>
      </c>
      <c r="AN88" s="99" t="s">
        <v>711</v>
      </c>
    </row>
    <row r="89" spans="1:40" ht="12.75">
      <c r="A89" t="s">
        <v>103</v>
      </c>
      <c r="B89" t="s">
        <v>71</v>
      </c>
      <c r="C89" t="s">
        <v>190</v>
      </c>
      <c r="D89">
        <v>125</v>
      </c>
      <c r="E89">
        <v>35</v>
      </c>
      <c r="F89">
        <f>E89+3*Investments!$C$7+Investments!$C$16+Investments!$C$17</f>
        <v>103</v>
      </c>
      <c r="G89" t="str">
        <f>15+15*Investments!$C$7&amp;" feet"</f>
        <v>240 feet</v>
      </c>
      <c r="H89" t="s">
        <v>626</v>
      </c>
      <c r="I89" t="s">
        <v>623</v>
      </c>
      <c r="Z89" s="125" t="s">
        <v>594</v>
      </c>
      <c r="AA89" s="116">
        <v>100</v>
      </c>
      <c r="AB89" s="116">
        <v>200</v>
      </c>
      <c r="AC89" s="116">
        <v>400</v>
      </c>
      <c r="AD89" s="116">
        <v>800</v>
      </c>
      <c r="AE89" s="116">
        <v>1600</v>
      </c>
      <c r="AF89" s="116" t="e">
        <v>#VALUE!</v>
      </c>
      <c r="AG89" s="116" t="e">
        <v>#VALUE!</v>
      </c>
      <c r="AH89" s="116" t="e">
        <v>#VALUE!</v>
      </c>
      <c r="AI89" s="116" t="e">
        <v>#VALUE!</v>
      </c>
      <c r="AJ89" s="116" t="e">
        <v>#VALUE!</v>
      </c>
      <c r="AK89" s="116" t="e">
        <v>#VALUE!</v>
      </c>
      <c r="AL89" s="154"/>
      <c r="AM89" s="152" t="s">
        <v>587</v>
      </c>
      <c r="AN89" s="188">
        <v>5</v>
      </c>
    </row>
    <row r="90" spans="1:40" ht="12.75">
      <c r="A90" t="s">
        <v>103</v>
      </c>
      <c r="B90" t="s">
        <v>72</v>
      </c>
      <c r="C90" t="s">
        <v>191</v>
      </c>
      <c r="D90">
        <v>100</v>
      </c>
      <c r="E90">
        <v>20</v>
      </c>
      <c r="F90">
        <f>E90+3*Investments!$C$7+Investments!$C$16+Investments!$C$17</f>
        <v>88</v>
      </c>
      <c r="G90" t="s">
        <v>635</v>
      </c>
      <c r="H90" t="s">
        <v>629</v>
      </c>
      <c r="I90" t="s">
        <v>623</v>
      </c>
      <c r="J90" t="str">
        <f>"Can summon up to "&amp;1+IF(Investments!$C$7&lt;5,0,Investments!$C$7)&amp;" aquatic mammals within "&amp;30-0.5*Investments!$C$7&amp;" minutes."</f>
        <v>Can summon up to 16 aquatic mammals within 22.5 minutes.</v>
      </c>
      <c r="Z90" s="125" t="s">
        <v>595</v>
      </c>
      <c r="AA90" s="116">
        <v>100</v>
      </c>
      <c r="AB90" s="116">
        <v>200</v>
      </c>
      <c r="AC90" s="116">
        <v>400</v>
      </c>
      <c r="AD90" s="116">
        <v>800</v>
      </c>
      <c r="AE90" s="116">
        <v>1600</v>
      </c>
      <c r="AF90" s="116">
        <v>2600</v>
      </c>
      <c r="AG90" s="116">
        <v>3800</v>
      </c>
      <c r="AH90" s="116">
        <v>5200</v>
      </c>
      <c r="AI90" s="116">
        <v>6800</v>
      </c>
      <c r="AJ90" s="116" t="e">
        <v>#VALUE!</v>
      </c>
      <c r="AK90" s="116" t="e">
        <v>#VALUE!</v>
      </c>
      <c r="AL90" s="154"/>
      <c r="AM90" s="152" t="s">
        <v>588</v>
      </c>
      <c r="AN90" s="188">
        <v>3</v>
      </c>
    </row>
    <row r="91" spans="1:40" ht="12.75">
      <c r="A91" t="s">
        <v>103</v>
      </c>
      <c r="B91" t="s">
        <v>73</v>
      </c>
      <c r="C91" t="s">
        <v>192</v>
      </c>
      <c r="D91">
        <v>125</v>
      </c>
      <c r="E91">
        <v>30</v>
      </c>
      <c r="F91">
        <f>E91+3*Investments!$C$7+Investments!$C$16+Investments!$C$17</f>
        <v>98</v>
      </c>
      <c r="G91" t="str">
        <f>10+10*Investments!$C$7&amp;" feet"</f>
        <v>160 feet</v>
      </c>
      <c r="H91" t="str">
        <f>"D * "&amp;5*Investments!$C$7&amp;" minutes"</f>
        <v>D * 75 minutes</v>
      </c>
      <c r="I91" t="s">
        <v>623</v>
      </c>
      <c r="J91" t="str">
        <f>"Create a wind able to move a longship at a rate of "&amp;5+Investments!$C$7&amp;" knots."</f>
        <v>Create a wind able to move a longship at a rate of 20 knots.</v>
      </c>
      <c r="Z91" s="125" t="s">
        <v>596</v>
      </c>
      <c r="AA91" s="116">
        <v>100</v>
      </c>
      <c r="AB91" s="116">
        <v>200</v>
      </c>
      <c r="AC91" s="116">
        <v>400</v>
      </c>
      <c r="AD91" s="116">
        <v>800</v>
      </c>
      <c r="AE91" s="116">
        <v>1600</v>
      </c>
      <c r="AF91" s="116">
        <v>2600</v>
      </c>
      <c r="AG91" s="116">
        <v>3800</v>
      </c>
      <c r="AH91" s="116">
        <v>5200</v>
      </c>
      <c r="AI91" s="116">
        <v>6800</v>
      </c>
      <c r="AJ91" s="116">
        <v>8600</v>
      </c>
      <c r="AK91" s="116">
        <v>10600</v>
      </c>
      <c r="AL91" s="154"/>
      <c r="AM91" s="152" t="s">
        <v>562</v>
      </c>
      <c r="AN91" s="99">
        <v>1</v>
      </c>
    </row>
    <row r="92" spans="1:40" ht="12.75">
      <c r="A92" t="s">
        <v>103</v>
      </c>
      <c r="B92" t="s">
        <v>90</v>
      </c>
      <c r="C92" t="s">
        <v>193</v>
      </c>
      <c r="D92">
        <v>150</v>
      </c>
      <c r="E92">
        <v>35</v>
      </c>
      <c r="F92">
        <f>E92+3*Investments!$C$7+Investments!$C$16+Investments!$C$17</f>
        <v>103</v>
      </c>
      <c r="G92" t="s">
        <v>638</v>
      </c>
      <c r="H92" t="s">
        <v>629</v>
      </c>
      <c r="I92" t="s">
        <v>623</v>
      </c>
      <c r="J92" t="str">
        <f>"Adept can extract "&amp;1+Investments!$C$7&amp;" pint of water from the air or plants."</f>
        <v>Adept can extract 16 pint of water from the air or plants.</v>
      </c>
      <c r="AL92" s="154"/>
      <c r="AM92" s="152" t="s">
        <v>563</v>
      </c>
      <c r="AN92" s="99">
        <v>8</v>
      </c>
    </row>
    <row r="93" spans="1:40" ht="12.75">
      <c r="A93" t="s">
        <v>103</v>
      </c>
      <c r="B93" t="s">
        <v>94</v>
      </c>
      <c r="C93" t="s">
        <v>194</v>
      </c>
      <c r="D93">
        <v>100</v>
      </c>
      <c r="E93">
        <v>50</v>
      </c>
      <c r="F93">
        <f>E93+3*Investments!$C$7+Investments!$C$16+Investments!$C$17</f>
        <v>118</v>
      </c>
      <c r="G93" t="s">
        <v>638</v>
      </c>
      <c r="H93" t="str">
        <f>1+Investments!$C$7&amp;" hours"</f>
        <v>16 hours</v>
      </c>
      <c r="I93" t="s">
        <v>623</v>
      </c>
      <c r="AL93" s="154"/>
      <c r="AM93" s="152" t="s">
        <v>564</v>
      </c>
      <c r="AN93" s="99">
        <v>65</v>
      </c>
    </row>
    <row r="94" spans="1:40" ht="12.75">
      <c r="A94" t="s">
        <v>103</v>
      </c>
      <c r="B94" t="s">
        <v>95</v>
      </c>
      <c r="C94" t="s">
        <v>195</v>
      </c>
      <c r="D94">
        <v>200</v>
      </c>
      <c r="E94">
        <v>25</v>
      </c>
      <c r="F94">
        <f>E94+3*Investments!$C$7+Investments!$C$16+Investments!$C$17</f>
        <v>93</v>
      </c>
      <c r="G94" t="s">
        <v>638</v>
      </c>
      <c r="H94" t="str">
        <f>1+Investments!$C$7&amp;" hours"</f>
        <v>16 hours</v>
      </c>
      <c r="I94" t="s">
        <v>623</v>
      </c>
      <c r="AL94" s="154"/>
      <c r="AM94" s="152" t="s">
        <v>565</v>
      </c>
      <c r="AN94" s="99">
        <v>100</v>
      </c>
    </row>
    <row r="95" spans="1:40" ht="12.75">
      <c r="A95" t="s">
        <v>103</v>
      </c>
      <c r="B95" t="s">
        <v>96</v>
      </c>
      <c r="C95" t="s">
        <v>196</v>
      </c>
      <c r="D95">
        <v>200</v>
      </c>
      <c r="E95">
        <v>20</v>
      </c>
      <c r="F95">
        <f>E95+3*Investments!$C$7+Investments!$C$16+Investments!$C$17</f>
        <v>88</v>
      </c>
      <c r="G95" t="str">
        <f>90+15*Investments!$C$7&amp;" feet"</f>
        <v>315 feet</v>
      </c>
      <c r="H95" t="str">
        <f>2+Investments!$C$7&amp;" hours Max (Concentration)"</f>
        <v>17 hours Max (Concentration)</v>
      </c>
      <c r="I95" t="s">
        <v>623</v>
      </c>
      <c r="J95" t="str">
        <f>"Repair/strenghten ship. "&amp;IF(Investments!$C$7&lt;10,"",IF(Investments!$C$7&lt;15,"Instantly construct small sail craft.","Instantly construct a large craft (&gt;40')."))</f>
        <v>Repair/strenghten ship. Instantly construct a large craft (&gt;40').</v>
      </c>
      <c r="AL95" s="154"/>
      <c r="AM95" s="152" t="s">
        <v>566</v>
      </c>
      <c r="AN95" s="189">
        <v>0</v>
      </c>
    </row>
    <row r="96" spans="1:40" ht="12.75">
      <c r="A96" t="s">
        <v>103</v>
      </c>
      <c r="B96" t="s">
        <v>97</v>
      </c>
      <c r="C96" t="s">
        <v>197</v>
      </c>
      <c r="D96">
        <v>200</v>
      </c>
      <c r="E96">
        <v>15</v>
      </c>
      <c r="F96">
        <f>E96+3*Investments!$C$7+Investments!$C$16+Investments!$C$17</f>
        <v>83</v>
      </c>
      <c r="G96" t="s">
        <v>638</v>
      </c>
      <c r="H96" t="str">
        <f>1+Investments!$C$7&amp;" weeks"</f>
        <v>16 weeks</v>
      </c>
      <c r="I96" t="s">
        <v>623</v>
      </c>
      <c r="J96" t="str">
        <f>"Decrease chance of bad encounters by "&amp;5+Investments!$C$7&amp;"%."</f>
        <v>Decrease chance of bad encounters by 20%.</v>
      </c>
      <c r="AL96" s="154"/>
      <c r="AM96" s="152" t="s">
        <v>589</v>
      </c>
      <c r="AN96" s="188">
        <v>35</v>
      </c>
    </row>
    <row r="97" spans="1:40" ht="12.75">
      <c r="A97" t="s">
        <v>103</v>
      </c>
      <c r="B97" t="s">
        <v>74</v>
      </c>
      <c r="C97" t="s">
        <v>198</v>
      </c>
      <c r="D97">
        <v>350</v>
      </c>
      <c r="E97">
        <v>30</v>
      </c>
      <c r="F97">
        <f>E97+3*Investments!$C$7+Investments!$C$16+Investments!$C$17</f>
        <v>98</v>
      </c>
      <c r="G97" t="s">
        <v>652</v>
      </c>
      <c r="H97" t="s">
        <v>629</v>
      </c>
      <c r="I97" t="s">
        <v>623</v>
      </c>
      <c r="J97" t="str">
        <f>"Turns "&amp;1+Investments!$C$7&amp;" quarts of aqueous liquid into potable water."</f>
        <v>Turns 16 quarts of aqueous liquid into potable water.</v>
      </c>
      <c r="AL97" s="154"/>
      <c r="AM97" s="152" t="s">
        <v>567</v>
      </c>
      <c r="AN97" s="99">
        <v>5</v>
      </c>
    </row>
    <row r="98" spans="1:40" ht="12.75">
      <c r="A98" t="s">
        <v>103</v>
      </c>
      <c r="B98" t="s">
        <v>75</v>
      </c>
      <c r="C98" t="s">
        <v>199</v>
      </c>
      <c r="D98">
        <v>350</v>
      </c>
      <c r="E98">
        <v>100</v>
      </c>
      <c r="F98">
        <f>E98+3*Investments!$C$7+Investments!$C$16+Investments!$C$17</f>
        <v>168</v>
      </c>
      <c r="G98" t="s">
        <v>638</v>
      </c>
      <c r="H98" t="s">
        <v>629</v>
      </c>
      <c r="I98" t="s">
        <v>623</v>
      </c>
      <c r="J98" t="str">
        <f>"Turn one pint of potable water into [D-5] + "&amp;Investments!$C$7&amp;" general antidotes."</f>
        <v>Turn one pint of potable water into [D-5] + 15 general antidotes.</v>
      </c>
      <c r="AL98" s="154"/>
      <c r="AM98" s="152" t="s">
        <v>590</v>
      </c>
      <c r="AN98" s="188">
        <v>20</v>
      </c>
    </row>
    <row r="99" spans="1:40" ht="12.75">
      <c r="A99" t="s">
        <v>103</v>
      </c>
      <c r="B99" t="s">
        <v>76</v>
      </c>
      <c r="C99" t="s">
        <v>200</v>
      </c>
      <c r="D99">
        <v>400</v>
      </c>
      <c r="E99">
        <v>30</v>
      </c>
      <c r="F99">
        <f>E99+3*Investments!$C$7+Investments!$C$16+Investments!$C$17</f>
        <v>98</v>
      </c>
      <c r="G99" t="s">
        <v>638</v>
      </c>
      <c r="H99" t="s">
        <v>629</v>
      </c>
      <c r="I99" t="s">
        <v>623</v>
      </c>
      <c r="J99" t="str">
        <f>"Create [D-5] + "&amp;Investments!$C$7&amp;" doses that cure 1 EN point lost (except due to poison)."</f>
        <v>Create [D-5] + 15 doses that cure 1 EN point lost (except due to poison).</v>
      </c>
      <c r="AL99" s="154"/>
      <c r="AM99" s="152" t="s">
        <v>568</v>
      </c>
      <c r="AN99" s="99">
        <v>14</v>
      </c>
    </row>
    <row r="100" spans="1:40" ht="12.75">
      <c r="A100" t="s">
        <v>103</v>
      </c>
      <c r="B100" t="s">
        <v>77</v>
      </c>
      <c r="C100" t="s">
        <v>201</v>
      </c>
      <c r="D100">
        <v>350</v>
      </c>
      <c r="E100">
        <v>30</v>
      </c>
      <c r="F100">
        <f>E100+3*Investments!$C$7+Investments!$C$16+Investments!$C$17</f>
        <v>98</v>
      </c>
      <c r="G100" t="s">
        <v>638</v>
      </c>
      <c r="H100" t="s">
        <v>629</v>
      </c>
      <c r="I100" t="s">
        <v>623</v>
      </c>
      <c r="J100" t="s">
        <v>653</v>
      </c>
      <c r="AL100" s="154"/>
      <c r="AM100" s="152" t="s">
        <v>569</v>
      </c>
      <c r="AN100" s="99">
        <v>20</v>
      </c>
    </row>
    <row r="101" spans="1:40" ht="12.75">
      <c r="A101" t="s">
        <v>103</v>
      </c>
      <c r="B101" t="s">
        <v>78</v>
      </c>
      <c r="C101" t="s">
        <v>202</v>
      </c>
      <c r="D101">
        <v>100</v>
      </c>
      <c r="E101">
        <v>25</v>
      </c>
      <c r="F101">
        <f>E101+3*Investments!$C$7+Investments!$C$16+Investments!$C$17</f>
        <v>93</v>
      </c>
      <c r="G101" t="s">
        <v>635</v>
      </c>
      <c r="H101" t="s">
        <v>629</v>
      </c>
      <c r="I101" t="s">
        <v>623</v>
      </c>
      <c r="AM101" s="152" t="s">
        <v>570</v>
      </c>
      <c r="AN101" s="189">
        <v>6</v>
      </c>
    </row>
    <row r="102" spans="1:40" ht="12.75">
      <c r="A102" t="s">
        <v>103</v>
      </c>
      <c r="B102" t="s">
        <v>79</v>
      </c>
      <c r="C102" t="s">
        <v>203</v>
      </c>
      <c r="D102">
        <v>100</v>
      </c>
      <c r="E102">
        <v>20</v>
      </c>
      <c r="F102">
        <f>E102+3*Investments!$C$7+Investments!$C$16+Investments!$C$17</f>
        <v>88</v>
      </c>
      <c r="G102" t="str">
        <f>10+10*Investments!$C$7&amp;" feet"</f>
        <v>160 feet</v>
      </c>
      <c r="H102" t="s">
        <v>626</v>
      </c>
      <c r="I102" t="s">
        <v>623</v>
      </c>
      <c r="J102" t="str">
        <f>"Can control "&amp;1+ROUNDUP(Investments!$C$7/2,0)&amp;" fish."</f>
        <v>Can control 9 fish.</v>
      </c>
      <c r="AM102" s="152" t="s">
        <v>591</v>
      </c>
      <c r="AN102" s="188">
        <v>4</v>
      </c>
    </row>
    <row r="103" spans="1:10" ht="12.75">
      <c r="A103" t="s">
        <v>103</v>
      </c>
      <c r="B103" t="s">
        <v>80</v>
      </c>
      <c r="C103" t="s">
        <v>204</v>
      </c>
      <c r="D103">
        <v>200</v>
      </c>
      <c r="E103">
        <v>25</v>
      </c>
      <c r="F103">
        <f>E103+3*Investments!$C$7+Investments!$C$16+Investments!$C$17</f>
        <v>93</v>
      </c>
      <c r="G103" t="str">
        <f>10+10*Investments!$C$7&amp;" feet"</f>
        <v>160 feet</v>
      </c>
      <c r="H103" t="s">
        <v>626</v>
      </c>
      <c r="I103" t="s">
        <v>623</v>
      </c>
      <c r="J103" t="str">
        <f>"Can control "&amp;1+ROUNDUP(Investments!$C$7/2,0)&amp;" Aquatic Mammals."</f>
        <v>Can control 9 Aquatic Mammals.</v>
      </c>
    </row>
    <row r="104" spans="1:39" ht="12.75">
      <c r="A104" t="s">
        <v>103</v>
      </c>
      <c r="B104" t="s">
        <v>81</v>
      </c>
      <c r="C104" t="s">
        <v>205</v>
      </c>
      <c r="D104">
        <v>250</v>
      </c>
      <c r="E104">
        <v>25</v>
      </c>
      <c r="F104">
        <f>E104+3*Investments!$C$7+Investments!$C$16+Investments!$C$17</f>
        <v>93</v>
      </c>
      <c r="G104" t="s">
        <v>638</v>
      </c>
      <c r="H104" t="s">
        <v>654</v>
      </c>
      <c r="I104" t="s">
        <v>623</v>
      </c>
      <c r="J104" t="str">
        <f>"Can have precognitive visions"&amp;IF(Investments!$C$7&lt;5,"."," or can spy on an area upto "&amp;5+15*Investments!$C$7&amp;" miles away.")</f>
        <v>Can have precognitive visions or can spy on an area upto 230 miles away.</v>
      </c>
      <c r="AM104" s="193" t="s">
        <v>717</v>
      </c>
    </row>
    <row r="105" spans="1:40" ht="12.75">
      <c r="A105" t="s">
        <v>103</v>
      </c>
      <c r="B105" t="s">
        <v>82</v>
      </c>
      <c r="C105" t="s">
        <v>206</v>
      </c>
      <c r="D105">
        <v>250</v>
      </c>
      <c r="E105">
        <v>25</v>
      </c>
      <c r="F105">
        <f>E105+3*Investments!$C$7+Investments!$C$16+Investments!$C$17</f>
        <v>93</v>
      </c>
      <c r="G105" t="str">
        <f>90+15*Investments!$C$7&amp;" feet"</f>
        <v>315 feet</v>
      </c>
      <c r="H105" t="str">
        <f>1+Investments!$C$7&amp;" hours"</f>
        <v>16 hours</v>
      </c>
      <c r="I105" t="s">
        <v>623</v>
      </c>
      <c r="J105" t="str">
        <f>"Can cast on a surface ship upto "&amp;2+2*Investments!$C$7&amp;" tons."</f>
        <v>Can cast on a surface ship upto 32 tons.</v>
      </c>
      <c r="AM105" s="194" t="s">
        <v>901</v>
      </c>
      <c r="AN105" s="188">
        <v>30</v>
      </c>
    </row>
    <row r="106" spans="1:40" ht="12.75">
      <c r="A106" t="s">
        <v>103</v>
      </c>
      <c r="B106" t="s">
        <v>83</v>
      </c>
      <c r="C106" t="s">
        <v>207</v>
      </c>
      <c r="D106">
        <v>300</v>
      </c>
      <c r="E106">
        <v>15</v>
      </c>
      <c r="F106">
        <f>E106+3*Investments!$C$7+Investments!$C$16+Investments!$C$17</f>
        <v>83</v>
      </c>
      <c r="G106" t="str">
        <f>15+Investments!$C$7&amp;" miles"</f>
        <v>30 miles</v>
      </c>
      <c r="H106" t="s">
        <v>655</v>
      </c>
      <c r="I106" t="s">
        <v>623</v>
      </c>
      <c r="J106" t="s">
        <v>656</v>
      </c>
      <c r="AM106" s="194" t="s">
        <v>722</v>
      </c>
      <c r="AN106" s="99">
        <v>200</v>
      </c>
    </row>
    <row r="107" spans="1:40" ht="12.75">
      <c r="A107" t="s">
        <v>103</v>
      </c>
      <c r="B107" t="s">
        <v>84</v>
      </c>
      <c r="C107" t="s">
        <v>208</v>
      </c>
      <c r="D107">
        <v>500</v>
      </c>
      <c r="E107">
        <v>10</v>
      </c>
      <c r="F107">
        <f>E107+3*Investments!$C$7+Investments!$C$16+Investments!$C$17</f>
        <v>78</v>
      </c>
      <c r="G107" t="str">
        <f>30+30*Investments!$C$7&amp;" feet"</f>
        <v>480 feet</v>
      </c>
      <c r="H107" t="str">
        <f>10+10*Investments!$C$7&amp;" seconds"</f>
        <v>160 seconds</v>
      </c>
      <c r="I107" t="s">
        <v>623</v>
      </c>
      <c r="J107" t="str">
        <f>"Creates a vortex of "&amp;10+10*Investments!$C$7&amp;" feet diameter."</f>
        <v>Creates a vortex of 160 feet diameter.</v>
      </c>
      <c r="AM107" s="194" t="s">
        <v>718</v>
      </c>
      <c r="AN107" s="99">
        <v>10</v>
      </c>
    </row>
    <row r="108" spans="1:40" ht="12.75">
      <c r="A108" t="s">
        <v>103</v>
      </c>
      <c r="B108" t="s">
        <v>85</v>
      </c>
      <c r="C108" t="s">
        <v>209</v>
      </c>
      <c r="D108">
        <v>750</v>
      </c>
      <c r="E108">
        <v>5</v>
      </c>
      <c r="F108">
        <f>E108+3*Investments!$C$7+Investments!$C$16+Investments!$C$17</f>
        <v>73</v>
      </c>
      <c r="G108" t="str">
        <f>60+60*Investments!$C$7&amp;" feet"</f>
        <v>960 feet</v>
      </c>
      <c r="H108" t="str">
        <f>60+30*Investments!$C$7&amp;" seconds"</f>
        <v>510 seconds</v>
      </c>
      <c r="I108" t="str">
        <f>"[D-1] + "&amp;Investments!$C$7</f>
        <v>[D-1] + 15</v>
      </c>
      <c r="J108" t="s">
        <v>651</v>
      </c>
      <c r="AM108" s="194" t="s">
        <v>724</v>
      </c>
      <c r="AN108" s="99">
        <v>300</v>
      </c>
    </row>
    <row r="109" spans="1:40" ht="12.75">
      <c r="A109" t="s">
        <v>104</v>
      </c>
      <c r="B109" t="s">
        <v>64</v>
      </c>
      <c r="C109" t="s">
        <v>210</v>
      </c>
      <c r="D109">
        <v>75</v>
      </c>
      <c r="F109" s="138" t="str">
        <f>"PC + "&amp;5*Investments!$C$7+Investments!$C$16+Investments!$C$17</f>
        <v>PC + 98</v>
      </c>
      <c r="G109" t="s">
        <v>622</v>
      </c>
      <c r="H109" t="s">
        <v>623</v>
      </c>
      <c r="I109" t="s">
        <v>623</v>
      </c>
      <c r="AM109" s="194" t="s">
        <v>719</v>
      </c>
      <c r="AN109" s="99">
        <v>10</v>
      </c>
    </row>
    <row r="110" spans="1:40" ht="12.75">
      <c r="A110" t="s">
        <v>104</v>
      </c>
      <c r="B110" t="s">
        <v>65</v>
      </c>
      <c r="C110" t="s">
        <v>211</v>
      </c>
      <c r="D110">
        <v>50</v>
      </c>
      <c r="E110">
        <v>45</v>
      </c>
      <c r="F110">
        <f>E110+3*Investments!$C$7+Investments!$C$16+Investments!$C$17</f>
        <v>113</v>
      </c>
      <c r="G110" t="str">
        <f>10+10*Investments!$C$7&amp;" feet"</f>
        <v>160 feet</v>
      </c>
      <c r="H110" t="s">
        <v>629</v>
      </c>
      <c r="I110" t="s">
        <v>623</v>
      </c>
      <c r="J110" t="s">
        <v>657</v>
      </c>
      <c r="AM110" s="194" t="s">
        <v>725</v>
      </c>
      <c r="AN110" s="99">
        <v>350</v>
      </c>
    </row>
    <row r="111" spans="1:40" ht="12.75">
      <c r="A111" t="s">
        <v>104</v>
      </c>
      <c r="B111" t="s">
        <v>66</v>
      </c>
      <c r="C111" t="s">
        <v>212</v>
      </c>
      <c r="D111">
        <v>50</v>
      </c>
      <c r="E111">
        <v>35</v>
      </c>
      <c r="F111">
        <f>E111+3*Investments!$C$7+Investments!$C$16+Investments!$C$17</f>
        <v>103</v>
      </c>
      <c r="G111" t="str">
        <f>25+5*Investments!$C$7&amp;" feet"</f>
        <v>100 feet</v>
      </c>
      <c r="H111" t="str">
        <f>1+2*Investments!$C$7&amp;" hours Max (Concentration)"</f>
        <v>31 hours Max (Concentration)</v>
      </c>
      <c r="I111" t="s">
        <v>623</v>
      </c>
      <c r="AM111" s="194" t="s">
        <v>720</v>
      </c>
      <c r="AN111" s="99">
        <v>20</v>
      </c>
    </row>
    <row r="112" spans="1:40" ht="12.75">
      <c r="A112" t="s">
        <v>104</v>
      </c>
      <c r="B112" t="s">
        <v>67</v>
      </c>
      <c r="C112" t="s">
        <v>213</v>
      </c>
      <c r="D112">
        <v>100</v>
      </c>
      <c r="E112">
        <v>40</v>
      </c>
      <c r="F112">
        <f>E112+3*Investments!$C$7+Investments!$C$16+Investments!$C$17</f>
        <v>108</v>
      </c>
      <c r="G112" t="s">
        <v>649</v>
      </c>
      <c r="H112" t="str">
        <f>"[D-5] * "&amp;10*Investments!$C$7&amp;" minutes"</f>
        <v>[D-5] * 150 minutes</v>
      </c>
      <c r="I112" t="s">
        <v>623</v>
      </c>
      <c r="J112" t="str">
        <f>-ROUNDDOWN(Investments!$C$7/2,0)&amp;" damage from Fire based damage.  MR against College of Fire is increased by "&amp;2*Investments!$C$7&amp;"%"</f>
        <v>-7 damage from Fire based damage.  MR against College of Fire is increased by 30%</v>
      </c>
      <c r="AM112" s="194" t="s">
        <v>723</v>
      </c>
      <c r="AN112" s="99">
        <v>250</v>
      </c>
    </row>
    <row r="113" spans="1:40" ht="12.75">
      <c r="A113" t="s">
        <v>104</v>
      </c>
      <c r="B113" t="s">
        <v>68</v>
      </c>
      <c r="C113" t="s">
        <v>214</v>
      </c>
      <c r="D113">
        <v>75</v>
      </c>
      <c r="E113">
        <v>50</v>
      </c>
      <c r="F113">
        <f>E113+3*Investments!$C$7+Investments!$C$16+Investments!$C$17</f>
        <v>118</v>
      </c>
      <c r="G113" t="str">
        <f>15+15*Investments!$C$7&amp;" feet"</f>
        <v>240 feet</v>
      </c>
      <c r="H113" t="str">
        <f>"[D-5] * "&amp;15*Investments!$C$7&amp;" minutes"</f>
        <v>[D-5] * 225 minutes</v>
      </c>
      <c r="I113" t="s">
        <v>623</v>
      </c>
      <c r="AM113" s="194" t="s">
        <v>721</v>
      </c>
      <c r="AN113" s="99">
        <v>100</v>
      </c>
    </row>
    <row r="114" spans="1:10" ht="12.75">
      <c r="A114" t="s">
        <v>104</v>
      </c>
      <c r="B114" t="s">
        <v>69</v>
      </c>
      <c r="C114" t="s">
        <v>215</v>
      </c>
      <c r="D114">
        <v>125</v>
      </c>
      <c r="E114">
        <v>15</v>
      </c>
      <c r="F114">
        <f>E114+3*Investments!$C$7+Investments!$C$16+Investments!$C$17</f>
        <v>83</v>
      </c>
      <c r="G114" t="s">
        <v>638</v>
      </c>
      <c r="H114" t="s">
        <v>629</v>
      </c>
      <c r="I114" t="str">
        <f>"[D-4] + "&amp;Investments!$C$7</f>
        <v>[D-4] + 15</v>
      </c>
      <c r="J114" t="s">
        <v>658</v>
      </c>
    </row>
    <row r="115" spans="1:39" ht="12.75">
      <c r="A115" t="s">
        <v>104</v>
      </c>
      <c r="B115" t="s">
        <v>70</v>
      </c>
      <c r="C115" t="s">
        <v>216</v>
      </c>
      <c r="D115">
        <v>75</v>
      </c>
      <c r="E115">
        <v>15</v>
      </c>
      <c r="F115">
        <f>E115+3*Investments!$C$7+Investments!$C$16+Investments!$C$17</f>
        <v>83</v>
      </c>
      <c r="G115" t="str">
        <f>10+10*Investments!$C$7&amp;" feet"</f>
        <v>160 feet</v>
      </c>
      <c r="H115" t="str">
        <f>"[D-6] * "&amp;15*Investments!$C$7&amp;" minutes"</f>
        <v>[D-6] * 225 minutes</v>
      </c>
      <c r="I115" t="s">
        <v>623</v>
      </c>
      <c r="J115" t="str">
        <f>"Create "&amp;2*Investments!$C$7&amp;" 5 foot cubes of smoke."</f>
        <v>Create 30 5 foot cubes of smoke.</v>
      </c>
      <c r="AM115" s="153" t="s">
        <v>26</v>
      </c>
    </row>
    <row r="116" spans="1:40" ht="12.75">
      <c r="A116" t="s">
        <v>104</v>
      </c>
      <c r="B116" t="s">
        <v>71</v>
      </c>
      <c r="C116" t="s">
        <v>217</v>
      </c>
      <c r="D116">
        <v>150</v>
      </c>
      <c r="E116">
        <v>30</v>
      </c>
      <c r="F116">
        <f>E116+3*Investments!$C$7+Investments!$C$16+Investments!$C$17</f>
        <v>98</v>
      </c>
      <c r="G116" t="s">
        <v>638</v>
      </c>
      <c r="H116" t="str">
        <f>"D * "&amp;Investments!$C$7&amp;" days"</f>
        <v>D * 15 days</v>
      </c>
      <c r="I116" t="s">
        <v>623</v>
      </c>
      <c r="AM116" s="99" t="s">
        <v>735</v>
      </c>
      <c r="AN116" s="99">
        <v>4</v>
      </c>
    </row>
    <row r="117" spans="1:40" ht="12.75">
      <c r="A117" t="s">
        <v>104</v>
      </c>
      <c r="B117" t="s">
        <v>72</v>
      </c>
      <c r="C117" t="s">
        <v>218</v>
      </c>
      <c r="D117">
        <v>175</v>
      </c>
      <c r="E117">
        <v>2</v>
      </c>
      <c r="F117">
        <f>E117+3*Investments!$C$7+Investments!$C$16+Investments!$C$17</f>
        <v>70</v>
      </c>
      <c r="G117" t="s">
        <v>638</v>
      </c>
      <c r="H117" t="str">
        <f>"D * "&amp;Investments!$C$7&amp;" days"</f>
        <v>D * 15 days</v>
      </c>
      <c r="I117" t="s">
        <v>623</v>
      </c>
      <c r="AM117" s="99" t="s">
        <v>727</v>
      </c>
      <c r="AN117" s="99">
        <v>8</v>
      </c>
    </row>
    <row r="118" spans="1:40" ht="12.75">
      <c r="A118" t="s">
        <v>104</v>
      </c>
      <c r="B118" t="s">
        <v>74</v>
      </c>
      <c r="C118" t="s">
        <v>219</v>
      </c>
      <c r="D118">
        <v>100</v>
      </c>
      <c r="E118">
        <v>25</v>
      </c>
      <c r="F118">
        <f>E118+3*Investments!$C$7+Investments!$C$16+Investments!$C$17</f>
        <v>93</v>
      </c>
      <c r="G118" t="str">
        <f>10+10*Investments!$C$7&amp;" feet"</f>
        <v>160 feet</v>
      </c>
      <c r="H118" t="str">
        <f>3*Investments!$C$7&amp;" hours Max (Concentration)"</f>
        <v>45 hours Max (Concentration)</v>
      </c>
      <c r="I118" t="str">
        <f>"[D-5] + "&amp;Investments!$C$7</f>
        <v>[D-5] + 15</v>
      </c>
      <c r="AM118" s="99" t="s">
        <v>834</v>
      </c>
      <c r="AN118" s="99">
        <v>15</v>
      </c>
    </row>
    <row r="119" spans="1:40" ht="12.75">
      <c r="A119" t="s">
        <v>104</v>
      </c>
      <c r="B119" t="s">
        <v>75</v>
      </c>
      <c r="C119" t="s">
        <v>220</v>
      </c>
      <c r="D119">
        <v>200</v>
      </c>
      <c r="E119">
        <v>40</v>
      </c>
      <c r="F119">
        <f>E119+3*Investments!$C$7+Investments!$C$16+Investments!$C$17</f>
        <v>108</v>
      </c>
      <c r="G119" t="str">
        <f>25+25*Investments!$C$7&amp;" feet"</f>
        <v>400 feet</v>
      </c>
      <c r="H119" t="s">
        <v>629</v>
      </c>
      <c r="I119" t="str">
        <f>"[D-5] + "&amp;Investments!$C$7</f>
        <v>[D-5] + 15</v>
      </c>
      <c r="J119" t="s">
        <v>659</v>
      </c>
      <c r="AM119" s="99" t="s">
        <v>749</v>
      </c>
      <c r="AN119" s="99">
        <v>0.75</v>
      </c>
    </row>
    <row r="120" spans="1:40" ht="12.75">
      <c r="A120" t="s">
        <v>104</v>
      </c>
      <c r="B120" t="s">
        <v>76</v>
      </c>
      <c r="C120" t="s">
        <v>221</v>
      </c>
      <c r="D120">
        <v>200</v>
      </c>
      <c r="E120">
        <v>30</v>
      </c>
      <c r="F120">
        <f>E120+3*Investments!$C$7+Investments!$C$16+Investments!$C$17</f>
        <v>98</v>
      </c>
      <c r="G120" t="str">
        <f>20+20*Investments!$C$7&amp;" feet"</f>
        <v>320 feet</v>
      </c>
      <c r="H120" t="s">
        <v>629</v>
      </c>
      <c r="I120" t="str">
        <f>"[D-4] + "&amp;ROUNDUP(Investments!$C$7/2,0)</f>
        <v>[D-4] + 8</v>
      </c>
      <c r="J120" t="s">
        <v>660</v>
      </c>
      <c r="AM120" s="99" t="s">
        <v>740</v>
      </c>
      <c r="AN120" s="99">
        <v>8</v>
      </c>
    </row>
    <row r="121" spans="1:40" ht="12.75">
      <c r="A121" t="s">
        <v>104</v>
      </c>
      <c r="B121" t="s">
        <v>77</v>
      </c>
      <c r="C121" t="s">
        <v>222</v>
      </c>
      <c r="D121">
        <v>200</v>
      </c>
      <c r="E121">
        <v>15</v>
      </c>
      <c r="F121">
        <f>E121+3*Investments!$C$7+Investments!$C$16+Investments!$C$17</f>
        <v>83</v>
      </c>
      <c r="G121" t="str">
        <f>20+10*Investments!$C$7&amp;" feet"</f>
        <v>170 feet</v>
      </c>
      <c r="H121" t="str">
        <f>15+15*Investments!$C$7&amp;" minutes Max (Concentration)"</f>
        <v>240 minutes Max (Concentration)</v>
      </c>
      <c r="I121" t="str">
        <f>"[D-2] + "&amp;ROUNDUP(Investments!$C$7/2,0)&amp;" / pulse"</f>
        <v>[D-2] + 8 / pulse</v>
      </c>
      <c r="J121" t="str">
        <f>"May snare upto "&amp;Investments!$C$7&amp;" entities.  Passive Only (save for half).  5 points B damage to cut."</f>
        <v>May snare upto 15 entities.  Passive Only (save for half).  5 points B damage to cut.</v>
      </c>
      <c r="AM121" s="99" t="s">
        <v>747</v>
      </c>
      <c r="AN121" s="99">
        <v>1</v>
      </c>
    </row>
    <row r="122" spans="1:40" ht="12.75">
      <c r="A122" t="s">
        <v>104</v>
      </c>
      <c r="B122" t="s">
        <v>78</v>
      </c>
      <c r="C122" t="s">
        <v>223</v>
      </c>
      <c r="D122">
        <v>200</v>
      </c>
      <c r="E122">
        <v>15</v>
      </c>
      <c r="F122">
        <f>E122+3*Investments!$C$7+Investments!$C$16+Investments!$C$17</f>
        <v>83</v>
      </c>
      <c r="G122" t="s">
        <v>649</v>
      </c>
      <c r="H122" t="str">
        <f>45+15*Investments!$C$7&amp;" seconds"</f>
        <v>270 seconds</v>
      </c>
      <c r="I122" t="str">
        <f>"[D-5] + "&amp;ROUNDUP(Investments!$C$7/2,0)&amp;" / pulse"</f>
        <v>[D-5] + 8 / pulse</v>
      </c>
      <c r="J122" t="str">
        <f>IF(Investments!$C$7&lt;10,"Target suffers [D-4] total damage (not per pulse).","")&amp;" Active and Passive resistance."</f>
        <v> Active and Passive resistance.</v>
      </c>
      <c r="AM122" s="99" t="s">
        <v>832</v>
      </c>
      <c r="AN122" s="99">
        <v>50</v>
      </c>
    </row>
    <row r="123" spans="1:40" ht="12.75">
      <c r="A123" t="s">
        <v>104</v>
      </c>
      <c r="B123" t="s">
        <v>79</v>
      </c>
      <c r="C123" t="s">
        <v>224</v>
      </c>
      <c r="D123">
        <v>225</v>
      </c>
      <c r="E123">
        <v>20</v>
      </c>
      <c r="F123">
        <f>E123+3*Investments!$C$7+Investments!$C$16+Investments!$C$17</f>
        <v>88</v>
      </c>
      <c r="G123" t="str">
        <f>20+20*Investments!$C$7&amp;" feet"</f>
        <v>320 feet</v>
      </c>
      <c r="H123" t="s">
        <v>629</v>
      </c>
      <c r="I123" t="str">
        <f>"D + "&amp;Investments!$C$7</f>
        <v>D + 15</v>
      </c>
      <c r="J123" t="s">
        <v>661</v>
      </c>
      <c r="AM123" s="99" t="s">
        <v>733</v>
      </c>
      <c r="AN123" s="99">
        <v>2</v>
      </c>
    </row>
    <row r="124" spans="1:40" ht="12.75">
      <c r="A124" t="s">
        <v>104</v>
      </c>
      <c r="B124" t="s">
        <v>80</v>
      </c>
      <c r="C124" t="s">
        <v>225</v>
      </c>
      <c r="D124">
        <v>250</v>
      </c>
      <c r="E124">
        <v>30</v>
      </c>
      <c r="F124">
        <f>E124+3*Investments!$C$7+Investments!$C$16+Investments!$C$17</f>
        <v>98</v>
      </c>
      <c r="G124" t="str">
        <f>5+5*Investments!$C$7&amp;" feet"</f>
        <v>80 feet</v>
      </c>
      <c r="H124" t="str">
        <f>"[D-5] * "&amp;20*Investments!$C$7&amp;" seconds"</f>
        <v>[D-5] * 300 seconds</v>
      </c>
      <c r="I124" t="str">
        <f>" + "&amp;1+ROUNDUP(Investments!$C$7/3,0)</f>
        <v> + 6</v>
      </c>
      <c r="J124" t="str">
        <f>"Strike Chance increased by "&amp;1+Investments!$C$7&amp;"%.  Undead/Cold characters suffer +"&amp;1+Investments!$C$7&amp;" damage."</f>
        <v>Strike Chance increased by 16%.  Undead/Cold characters suffer +16 damage.</v>
      </c>
      <c r="AM124" s="99" t="s">
        <v>734</v>
      </c>
      <c r="AN124" s="99">
        <v>0.75</v>
      </c>
    </row>
    <row r="125" spans="1:40" ht="12.75">
      <c r="A125" t="s">
        <v>104</v>
      </c>
      <c r="B125" t="s">
        <v>81</v>
      </c>
      <c r="C125" t="s">
        <v>226</v>
      </c>
      <c r="D125">
        <v>300</v>
      </c>
      <c r="E125">
        <v>2</v>
      </c>
      <c r="F125">
        <f>E125+3*Investments!$C$7+Investments!$C$16+Investments!$C$17</f>
        <v>70</v>
      </c>
      <c r="G125" t="str">
        <f>25*Investments!$C$7&amp;" feet"</f>
        <v>375 feet</v>
      </c>
      <c r="H125" t="s">
        <v>629</v>
      </c>
      <c r="I125" t="str">
        <f>"[D-2] + "&amp;ROUNDUP(Investments!$C$7/2,0)</f>
        <v>[D-2] + 8</v>
      </c>
      <c r="J125" t="s">
        <v>662</v>
      </c>
      <c r="AM125" s="99" t="s">
        <v>743</v>
      </c>
      <c r="AN125" s="99">
        <v>6</v>
      </c>
    </row>
    <row r="126" spans="1:40" ht="12.75">
      <c r="A126" t="s">
        <v>104</v>
      </c>
      <c r="B126" t="s">
        <v>82</v>
      </c>
      <c r="C126" t="s">
        <v>227</v>
      </c>
      <c r="D126">
        <v>675</v>
      </c>
      <c r="E126">
        <v>5</v>
      </c>
      <c r="F126">
        <f>E126+3*Investments!$C$7+Investments!$C$16+Investments!$C$17</f>
        <v>73</v>
      </c>
      <c r="G126" t="str">
        <f>10+10*Investments!$C$7&amp;" feet"</f>
        <v>160 feet</v>
      </c>
      <c r="H126" t="s">
        <v>629</v>
      </c>
      <c r="I126" t="str">
        <f>"D + "&amp;1+2*Investments!$C$7</f>
        <v>D + 31</v>
      </c>
      <c r="J126" s="140" t="s">
        <v>663</v>
      </c>
      <c r="AM126" s="99" t="s">
        <v>745</v>
      </c>
      <c r="AN126" s="99">
        <v>6</v>
      </c>
    </row>
    <row r="127" spans="1:40" ht="12.75">
      <c r="A127" t="s">
        <v>104</v>
      </c>
      <c r="B127" t="s">
        <v>83</v>
      </c>
      <c r="C127" t="s">
        <v>228</v>
      </c>
      <c r="D127">
        <v>525</v>
      </c>
      <c r="E127">
        <v>25</v>
      </c>
      <c r="F127">
        <f>E127+3*Investments!$C$7+Investments!$C$16+Investments!$C$17</f>
        <v>93</v>
      </c>
      <c r="G127" t="str">
        <f>25+25*Investments!$C$7&amp;" feet"</f>
        <v>400 feet</v>
      </c>
      <c r="H127" t="s">
        <v>629</v>
      </c>
      <c r="I127" t="str">
        <f>"D + "&amp;1+4*Investments!$C$7</f>
        <v>D + 61</v>
      </c>
      <c r="J127" t="s">
        <v>664</v>
      </c>
      <c r="AM127" s="99" t="s">
        <v>739</v>
      </c>
      <c r="AN127" s="99">
        <v>6</v>
      </c>
    </row>
    <row r="128" spans="1:40" ht="12.75">
      <c r="A128" t="s">
        <v>104</v>
      </c>
      <c r="B128" t="s">
        <v>84</v>
      </c>
      <c r="C128" t="s">
        <v>229</v>
      </c>
      <c r="D128">
        <v>650</v>
      </c>
      <c r="E128">
        <v>2</v>
      </c>
      <c r="F128">
        <f>E128+3*Investments!$C$7+Investments!$C$16+Investments!$C$17</f>
        <v>70</v>
      </c>
      <c r="G128" t="str">
        <f>20+10*Investments!$C$7&amp;" feet"</f>
        <v>170 feet</v>
      </c>
      <c r="H128" t="str">
        <f>15+15*Investments!$C$7&amp;" minutes Max (Concentration)"</f>
        <v>240 minutes Max (Concentration)</v>
      </c>
      <c r="I128" t="str">
        <f>"D + "&amp;1+2*Investments!$C$7&amp;" / pulse"</f>
        <v>D + 31 / pulse</v>
      </c>
      <c r="J128" t="str">
        <f>"May snare upto "&amp;Investments!$C$7&amp;" entities.  Passive Only (save for half).  10 points B damage to cut."</f>
        <v>May snare upto 15 entities.  Passive Only (save for half).  10 points B damage to cut.</v>
      </c>
      <c r="AM128" s="99" t="s">
        <v>833</v>
      </c>
      <c r="AN128" s="99">
        <v>3</v>
      </c>
    </row>
    <row r="129" spans="1:40" ht="12.75">
      <c r="A129" t="s">
        <v>104</v>
      </c>
      <c r="B129" t="s">
        <v>85</v>
      </c>
      <c r="C129" t="s">
        <v>230</v>
      </c>
      <c r="D129">
        <v>425</v>
      </c>
      <c r="E129">
        <v>1</v>
      </c>
      <c r="F129">
        <f>E129+3*Investments!$C$7+Investments!$C$16+Investments!$C$17</f>
        <v>69</v>
      </c>
      <c r="G129" t="str">
        <f>20+20*Investments!$C$7&amp;" feet"</f>
        <v>320 feet</v>
      </c>
      <c r="H129" t="s">
        <v>629</v>
      </c>
      <c r="I129" t="str">
        <f>"[D-4] + "&amp;ROUNDUP(Investments!$C$7/2,0)</f>
        <v>[D-4] + 8</v>
      </c>
      <c r="J129" t="s">
        <v>665</v>
      </c>
      <c r="AM129" s="99" t="s">
        <v>729</v>
      </c>
      <c r="AN129" s="99">
        <v>5</v>
      </c>
    </row>
    <row r="130" spans="1:40" ht="12.75">
      <c r="A130" t="s">
        <v>104</v>
      </c>
      <c r="B130" t="s">
        <v>86</v>
      </c>
      <c r="C130" t="s">
        <v>231</v>
      </c>
      <c r="D130">
        <v>550</v>
      </c>
      <c r="E130">
        <v>1</v>
      </c>
      <c r="F130">
        <f>E130+3*Investments!$C$7+Investments!$C$16+Investments!$C$17</f>
        <v>69</v>
      </c>
      <c r="G130" t="str">
        <f>20+10*Investments!$C$7&amp;" feet"</f>
        <v>170 feet</v>
      </c>
      <c r="H130" t="s">
        <v>629</v>
      </c>
      <c r="I130" t="str">
        <f>"[D-5] + "&amp;2*Investments!$C$7</f>
        <v>[D-5] + 30</v>
      </c>
      <c r="J130" t="str">
        <f>IF(Investments!$C$7&lt;4,"","[D-3] from Primary Stat for "&amp;4+Investments!$C$7&amp;" weeks.")</f>
        <v>[D-3] from Primary Stat for 19 weeks.</v>
      </c>
      <c r="AM130" s="99" t="s">
        <v>744</v>
      </c>
      <c r="AN130" s="99">
        <v>4</v>
      </c>
    </row>
    <row r="131" spans="1:40" ht="12.75">
      <c r="A131" t="s">
        <v>104</v>
      </c>
      <c r="B131" t="s">
        <v>98</v>
      </c>
      <c r="C131" t="s">
        <v>232</v>
      </c>
      <c r="D131">
        <v>500</v>
      </c>
      <c r="E131">
        <v>2</v>
      </c>
      <c r="F131">
        <f>E131+3*Investments!$C$7+Investments!$C$16+Investments!$C$17</f>
        <v>70</v>
      </c>
      <c r="G131" t="str">
        <f>25+10*Investments!$C$7&amp;" feet"</f>
        <v>175 feet</v>
      </c>
      <c r="H131" t="s">
        <v>629</v>
      </c>
      <c r="I131" t="s">
        <v>650</v>
      </c>
      <c r="J131" t="s">
        <v>666</v>
      </c>
      <c r="AM131" s="99" t="s">
        <v>748</v>
      </c>
      <c r="AN131" s="99">
        <v>0.5</v>
      </c>
    </row>
    <row r="132" spans="1:40" ht="12.75">
      <c r="A132" t="s">
        <v>104</v>
      </c>
      <c r="B132" t="s">
        <v>99</v>
      </c>
      <c r="C132" t="s">
        <v>233</v>
      </c>
      <c r="D132">
        <v>200</v>
      </c>
      <c r="E132">
        <v>15</v>
      </c>
      <c r="F132">
        <f>E132+3*Investments!$C$7+Investments!$C$16+Investments!$C$17</f>
        <v>83</v>
      </c>
      <c r="G132" t="s">
        <v>635</v>
      </c>
      <c r="H132" t="s">
        <v>667</v>
      </c>
      <c r="I132" t="s">
        <v>623</v>
      </c>
      <c r="AM132" s="99" t="s">
        <v>736</v>
      </c>
      <c r="AN132" s="99">
        <v>4</v>
      </c>
    </row>
    <row r="133" spans="1:40" ht="12.75">
      <c r="A133" t="s">
        <v>104</v>
      </c>
      <c r="B133" t="s">
        <v>100</v>
      </c>
      <c r="C133" t="s">
        <v>234</v>
      </c>
      <c r="D133">
        <v>225</v>
      </c>
      <c r="E133">
        <v>25</v>
      </c>
      <c r="F133">
        <f>E133+3*Investments!$C$7+Investments!$C$16+Investments!$C$17</f>
        <v>93</v>
      </c>
      <c r="G133" t="s">
        <v>635</v>
      </c>
      <c r="H133" t="s">
        <v>667</v>
      </c>
      <c r="I133" t="s">
        <v>623</v>
      </c>
      <c r="AM133" s="99" t="s">
        <v>732</v>
      </c>
      <c r="AN133" s="99">
        <v>6</v>
      </c>
    </row>
    <row r="134" spans="1:40" ht="12.75">
      <c r="A134" t="s">
        <v>105</v>
      </c>
      <c r="B134" t="s">
        <v>64</v>
      </c>
      <c r="C134" s="99" t="s">
        <v>236</v>
      </c>
      <c r="D134">
        <v>75</v>
      </c>
      <c r="F134" s="138" t="str">
        <f>"PC + "&amp;5*Investments!$C$7+Investments!$C$16+Investments!$C$17</f>
        <v>PC + 98</v>
      </c>
      <c r="G134" t="s">
        <v>622</v>
      </c>
      <c r="H134" t="s">
        <v>623</v>
      </c>
      <c r="I134" t="s">
        <v>623</v>
      </c>
      <c r="AM134" s="99" t="s">
        <v>741</v>
      </c>
      <c r="AN134" s="99">
        <v>0.25</v>
      </c>
    </row>
    <row r="135" spans="1:40" ht="12.75">
      <c r="A135" t="s">
        <v>105</v>
      </c>
      <c r="B135" t="s">
        <v>65</v>
      </c>
      <c r="C135" s="99" t="s">
        <v>238</v>
      </c>
      <c r="D135">
        <v>50</v>
      </c>
      <c r="E135">
        <v>45</v>
      </c>
      <c r="F135">
        <f>E135+3*Investments!$C$7+Investments!$C$16+Investments!$C$17</f>
        <v>113</v>
      </c>
      <c r="G135" t="str">
        <f>10+10*Investments!$C$7&amp;" feet"</f>
        <v>160 feet</v>
      </c>
      <c r="H135" t="str">
        <f>3*Investments!$C$7&amp;" hours Max (Concentration)"</f>
        <v>45 hours Max (Concentration)</v>
      </c>
      <c r="I135" t="s">
        <v>623</v>
      </c>
      <c r="AM135" s="99" t="s">
        <v>746</v>
      </c>
      <c r="AN135" s="99">
        <v>0.75</v>
      </c>
    </row>
    <row r="136" spans="1:40" ht="12.75">
      <c r="A136" t="s">
        <v>105</v>
      </c>
      <c r="B136" t="s">
        <v>66</v>
      </c>
      <c r="C136" s="99" t="s">
        <v>239</v>
      </c>
      <c r="D136">
        <v>50</v>
      </c>
      <c r="E136">
        <v>25</v>
      </c>
      <c r="F136">
        <f>E136+3*Investments!$C$7+Investments!$C$16+Investments!$C$17</f>
        <v>93</v>
      </c>
      <c r="G136" t="str">
        <f>10+10*Investments!$C$7&amp;" feet"</f>
        <v>160 feet</v>
      </c>
      <c r="H136" t="str">
        <f>3*Investments!$C$7&amp;" hours Max (Concentration)"</f>
        <v>45 hours Max (Concentration)</v>
      </c>
      <c r="I136" t="s">
        <v>623</v>
      </c>
      <c r="AM136" s="99" t="s">
        <v>731</v>
      </c>
      <c r="AN136" s="99">
        <v>2</v>
      </c>
    </row>
    <row r="137" spans="1:40" ht="12.75">
      <c r="A137" t="s">
        <v>105</v>
      </c>
      <c r="B137" t="s">
        <v>67</v>
      </c>
      <c r="C137" s="99" t="s">
        <v>240</v>
      </c>
      <c r="D137">
        <v>100</v>
      </c>
      <c r="E137">
        <v>20</v>
      </c>
      <c r="F137">
        <f>E137+3*Investments!$C$7+Investments!$C$16+Investments!$C$17</f>
        <v>88</v>
      </c>
      <c r="G137" t="str">
        <f>10+10*Investments!$C$7&amp;" feet"</f>
        <v>160 feet</v>
      </c>
      <c r="H137" t="s">
        <v>626</v>
      </c>
      <c r="I137" t="s">
        <v>623</v>
      </c>
      <c r="AM137" s="99" t="s">
        <v>730</v>
      </c>
      <c r="AN137" s="99">
        <v>1</v>
      </c>
    </row>
    <row r="138" spans="1:40" ht="12.75">
      <c r="A138" t="s">
        <v>105</v>
      </c>
      <c r="B138" t="s">
        <v>68</v>
      </c>
      <c r="C138" s="99" t="s">
        <v>241</v>
      </c>
      <c r="D138">
        <v>50</v>
      </c>
      <c r="E138">
        <v>60</v>
      </c>
      <c r="F138">
        <f>E138+3*Investments!$C$7+Investments!$C$16+Investments!$C$17</f>
        <v>128</v>
      </c>
      <c r="G138" t="s">
        <v>634</v>
      </c>
      <c r="H138" t="str">
        <f>1+Investments!$C$7&amp;" hours"</f>
        <v>16 hours</v>
      </c>
      <c r="I138" t="s">
        <v>623</v>
      </c>
      <c r="AM138" s="99" t="s">
        <v>835</v>
      </c>
      <c r="AN138" s="99">
        <v>40</v>
      </c>
    </row>
    <row r="139" spans="1:40" ht="12.75">
      <c r="A139" t="s">
        <v>105</v>
      </c>
      <c r="B139" t="s">
        <v>69</v>
      </c>
      <c r="C139" s="99" t="s">
        <v>242</v>
      </c>
      <c r="D139">
        <v>100</v>
      </c>
      <c r="E139">
        <v>50</v>
      </c>
      <c r="F139">
        <f>E139+3*Investments!$C$7+Investments!$C$16+Investments!$C$17</f>
        <v>118</v>
      </c>
      <c r="G139" t="str">
        <f>1+1*Investments!$C$7&amp;" feet"</f>
        <v>16 feet</v>
      </c>
      <c r="H139" t="str">
        <f>1+Investments!$C$7&amp;" hours"</f>
        <v>16 hours</v>
      </c>
      <c r="I139" t="s">
        <v>623</v>
      </c>
      <c r="AM139" s="99" t="s">
        <v>728</v>
      </c>
      <c r="AN139" s="99">
        <v>3</v>
      </c>
    </row>
    <row r="140" spans="1:40" ht="12.75">
      <c r="A140" t="s">
        <v>105</v>
      </c>
      <c r="B140" t="s">
        <v>70</v>
      </c>
      <c r="C140" s="99" t="s">
        <v>243</v>
      </c>
      <c r="D140">
        <v>100</v>
      </c>
      <c r="E140">
        <v>40</v>
      </c>
      <c r="F140">
        <f>E140+3*Investments!$C$7+Investments!$C$16+Investments!$C$17</f>
        <v>108</v>
      </c>
      <c r="G140" t="s">
        <v>649</v>
      </c>
      <c r="H140" t="s">
        <v>629</v>
      </c>
      <c r="I140" t="s">
        <v>623</v>
      </c>
      <c r="J140" t="str">
        <f>"Can cure "&amp;3+Investments!$C$7&amp;" damage."</f>
        <v>Can cure 18 damage.</v>
      </c>
      <c r="AM140" s="99" t="s">
        <v>742</v>
      </c>
      <c r="AN140" s="99">
        <v>3</v>
      </c>
    </row>
    <row r="141" spans="1:40" ht="12.75">
      <c r="A141" t="s">
        <v>105</v>
      </c>
      <c r="B141" t="s">
        <v>71</v>
      </c>
      <c r="C141" s="99" t="s">
        <v>244</v>
      </c>
      <c r="D141">
        <v>75</v>
      </c>
      <c r="E141">
        <v>60</v>
      </c>
      <c r="F141">
        <f>E141+3*Investments!$C$7+Investments!$C$16+Investments!$C$17</f>
        <v>128</v>
      </c>
      <c r="G141" t="str">
        <f>20+5*Investments!$C$7&amp;" feet"</f>
        <v>95 feet</v>
      </c>
      <c r="H141" t="str">
        <f>"D + "&amp;10*Investments!$C$7&amp;" minutes"</f>
        <v>D + 150 minutes</v>
      </c>
      <c r="I141" t="s">
        <v>623</v>
      </c>
      <c r="J141" t="str">
        <f>"Increase chance to detect ambush by "&amp;10+Investments!$C$7&amp;"% when outdoors."</f>
        <v>Increase chance to detect ambush by 25% when outdoors.</v>
      </c>
      <c r="AM141" s="99" t="s">
        <v>738</v>
      </c>
      <c r="AN141" s="99">
        <v>5</v>
      </c>
    </row>
    <row r="142" spans="1:40" ht="12.75">
      <c r="A142" t="s">
        <v>105</v>
      </c>
      <c r="B142" t="s">
        <v>72</v>
      </c>
      <c r="C142" s="99" t="s">
        <v>245</v>
      </c>
      <c r="D142">
        <v>75</v>
      </c>
      <c r="E142">
        <v>55</v>
      </c>
      <c r="F142">
        <f>E142+3*Investments!$C$7+Investments!$C$16+Investments!$C$17</f>
        <v>123</v>
      </c>
      <c r="G142" t="s">
        <v>638</v>
      </c>
      <c r="H142" t="s">
        <v>629</v>
      </c>
      <c r="I142" t="s">
        <v>623</v>
      </c>
      <c r="AM142" s="99" t="s">
        <v>737</v>
      </c>
      <c r="AN142" s="99">
        <v>4</v>
      </c>
    </row>
    <row r="143" spans="1:10" ht="12.75">
      <c r="A143" t="s">
        <v>105</v>
      </c>
      <c r="B143" t="s">
        <v>73</v>
      </c>
      <c r="C143" s="99" t="s">
        <v>246</v>
      </c>
      <c r="D143">
        <v>125</v>
      </c>
      <c r="E143">
        <v>20</v>
      </c>
      <c r="F143">
        <f>E143+3*Investments!$C$7+Investments!$C$16+Investments!$C$17</f>
        <v>88</v>
      </c>
      <c r="G143" t="str">
        <f>10+10*Investments!$C$7&amp;" feet"</f>
        <v>160 feet</v>
      </c>
      <c r="H143" t="str">
        <f>IF(Investments!$C$7&lt;10,"A Fortnight",IF(Investments!$C$7&lt;20,"3 months","Until Dispelled"))</f>
        <v>3 months</v>
      </c>
      <c r="I143" t="s">
        <v>623</v>
      </c>
      <c r="J143" t="s">
        <v>668</v>
      </c>
    </row>
    <row r="144" spans="1:39" ht="12.75">
      <c r="A144" t="s">
        <v>105</v>
      </c>
      <c r="B144" t="s">
        <v>90</v>
      </c>
      <c r="C144" s="99" t="s">
        <v>247</v>
      </c>
      <c r="D144">
        <v>75</v>
      </c>
      <c r="E144">
        <v>25</v>
      </c>
      <c r="F144">
        <f>E144+3*Investments!$C$7+Investments!$C$16+Investments!$C$17</f>
        <v>93</v>
      </c>
      <c r="G144" t="s">
        <v>634</v>
      </c>
      <c r="H144" t="s">
        <v>629</v>
      </c>
      <c r="I144" t="s">
        <v>623</v>
      </c>
      <c r="AM144" s="153" t="s">
        <v>750</v>
      </c>
    </row>
    <row r="145" spans="1:40" ht="12.75">
      <c r="A145" t="s">
        <v>105</v>
      </c>
      <c r="B145" t="s">
        <v>94</v>
      </c>
      <c r="C145" s="99" t="s">
        <v>248</v>
      </c>
      <c r="D145">
        <v>100</v>
      </c>
      <c r="E145">
        <v>15</v>
      </c>
      <c r="F145">
        <f>E145+3*Investments!$C$7+Investments!$C$16+Investments!$C$17</f>
        <v>83</v>
      </c>
      <c r="G145" t="s">
        <v>634</v>
      </c>
      <c r="H145" t="str">
        <f>1+Investments!$C$7&amp;" days"</f>
        <v>16 days</v>
      </c>
      <c r="I145" t="s">
        <v>623</v>
      </c>
      <c r="J145" t="str">
        <f>"Tracking increased by "&amp;10+2*Investments!$C$7&amp;"% while outdoors."</f>
        <v>Tracking increased by 40% while outdoors.</v>
      </c>
      <c r="AM145" s="99" t="s">
        <v>757</v>
      </c>
      <c r="AN145" s="99">
        <v>5</v>
      </c>
    </row>
    <row r="146" spans="1:40" ht="12.75">
      <c r="A146" t="s">
        <v>105</v>
      </c>
      <c r="B146" t="s">
        <v>74</v>
      </c>
      <c r="C146" s="99" t="s">
        <v>249</v>
      </c>
      <c r="D146">
        <v>200</v>
      </c>
      <c r="E146">
        <v>40</v>
      </c>
      <c r="F146">
        <f>E146+3*Investments!$C$7+Investments!$C$16+Investments!$C$17</f>
        <v>108</v>
      </c>
      <c r="G146" t="str">
        <f>25+10*Investments!$C$7&amp;" feet"</f>
        <v>175 feet</v>
      </c>
      <c r="H146" t="s">
        <v>629</v>
      </c>
      <c r="I146" t="str">
        <f>"[D-5] + "&amp;Investments!$C$7</f>
        <v>[D-5] + 15</v>
      </c>
      <c r="J146" t="s">
        <v>669</v>
      </c>
      <c r="AM146" s="99" t="s">
        <v>818</v>
      </c>
      <c r="AN146" s="99">
        <v>20</v>
      </c>
    </row>
    <row r="147" spans="1:40" ht="12.75">
      <c r="A147" t="s">
        <v>105</v>
      </c>
      <c r="B147" t="s">
        <v>75</v>
      </c>
      <c r="C147" s="99" t="s">
        <v>250</v>
      </c>
      <c r="D147">
        <v>150</v>
      </c>
      <c r="E147">
        <v>25</v>
      </c>
      <c r="F147">
        <f>E147+3*Investments!$C$7+Investments!$C$16+Investments!$C$17</f>
        <v>93</v>
      </c>
      <c r="G147" t="str">
        <f>25+5*Investments!$C$7&amp;" feet"</f>
        <v>100 feet</v>
      </c>
      <c r="H147" t="str">
        <f>1+Investments!$C$7&amp;" hours"</f>
        <v>16 hours</v>
      </c>
      <c r="I147" t="s">
        <v>623</v>
      </c>
      <c r="J147" t="str">
        <f>"Create "&amp;Investments!$C$7&amp;" number of hands.  Passive Only."</f>
        <v>Create 15 number of hands.  Passive Only.</v>
      </c>
      <c r="AM147" s="99" t="s">
        <v>820</v>
      </c>
      <c r="AN147" s="99">
        <v>60</v>
      </c>
    </row>
    <row r="148" spans="1:40" ht="12.75">
      <c r="A148" t="s">
        <v>105</v>
      </c>
      <c r="B148" t="s">
        <v>76</v>
      </c>
      <c r="C148" s="99" t="s">
        <v>251</v>
      </c>
      <c r="D148">
        <v>200</v>
      </c>
      <c r="E148">
        <v>20</v>
      </c>
      <c r="F148">
        <f>E148+3*Investments!$C$7+Investments!$C$16+Investments!$C$17</f>
        <v>88</v>
      </c>
      <c r="G148" t="s">
        <v>670</v>
      </c>
      <c r="H148" t="str">
        <f>1+Investments!$C$7&amp;" hours"</f>
        <v>16 hours</v>
      </c>
      <c r="I148" t="s">
        <v>623</v>
      </c>
      <c r="J148" t="str">
        <f>"Increase target's PS or FT by "&amp;Investments!$C$7&amp;" points."</f>
        <v>Increase target's PS or FT by 15 points.</v>
      </c>
      <c r="AM148" s="99" t="s">
        <v>829</v>
      </c>
      <c r="AN148" s="99">
        <v>12</v>
      </c>
    </row>
    <row r="149" spans="1:40" ht="12.75">
      <c r="A149" t="s">
        <v>105</v>
      </c>
      <c r="B149" t="s">
        <v>77</v>
      </c>
      <c r="C149" s="99" t="s">
        <v>252</v>
      </c>
      <c r="D149">
        <v>200</v>
      </c>
      <c r="E149">
        <v>20</v>
      </c>
      <c r="F149">
        <f>E149+3*Investments!$C$7+Investments!$C$16+Investments!$C$17</f>
        <v>88</v>
      </c>
      <c r="G149" t="s">
        <v>671</v>
      </c>
      <c r="H149" t="str">
        <f>30+30*Investments!$C$7&amp;" minutes"</f>
        <v>480 minutes</v>
      </c>
      <c r="I149" t="s">
        <v>623</v>
      </c>
      <c r="J149" t="str">
        <f>-2*Investments!$C$7&amp;"% from attacker's Strike Chance. "&amp;IF(Investments!$C$7&lt;11,""," Absorbs 1 point of damage.")</f>
        <v>-30% from attacker's Strike Chance.  Absorbs 1 point of damage.</v>
      </c>
      <c r="AM149" s="99" t="s">
        <v>825</v>
      </c>
      <c r="AN149" s="99">
        <v>8</v>
      </c>
    </row>
    <row r="150" spans="1:40" ht="12.75">
      <c r="A150" t="s">
        <v>105</v>
      </c>
      <c r="B150" t="s">
        <v>78</v>
      </c>
      <c r="C150" s="99" t="s">
        <v>253</v>
      </c>
      <c r="D150">
        <v>250</v>
      </c>
      <c r="E150">
        <v>30</v>
      </c>
      <c r="F150">
        <f>E150+3*Investments!$C$7+Investments!$C$16+Investments!$C$17</f>
        <v>98</v>
      </c>
      <c r="G150" t="str">
        <f>5+5*Investments!$C$7&amp;" feet"</f>
        <v>80 feet</v>
      </c>
      <c r="H150" t="str">
        <f>"[D - 5] + "&amp;20*Investments!$C$7&amp;" seconds"</f>
        <v>[D - 5] + 300 seconds</v>
      </c>
      <c r="I150" t="s">
        <v>623</v>
      </c>
      <c r="J150" t="str">
        <f>"+ "&amp;Investments!$C$7&amp;"% to Strike Chance (Break chance increased to 94-99)"</f>
        <v>+ 15% to Strike Chance (Break chance increased to 94-99)</v>
      </c>
      <c r="AM150" s="99" t="s">
        <v>754</v>
      </c>
      <c r="AN150" s="99">
        <v>1</v>
      </c>
    </row>
    <row r="151" spans="1:40" ht="12.75">
      <c r="A151" t="s">
        <v>105</v>
      </c>
      <c r="B151" t="s">
        <v>79</v>
      </c>
      <c r="C151" s="99" t="s">
        <v>254</v>
      </c>
      <c r="D151">
        <v>250</v>
      </c>
      <c r="E151">
        <v>10</v>
      </c>
      <c r="F151">
        <f>E151+3*Investments!$C$7+Investments!$C$16+Investments!$C$17</f>
        <v>78</v>
      </c>
      <c r="G151" t="s">
        <v>670</v>
      </c>
      <c r="H151" t="str">
        <f>1+Investments!$C$7&amp;" days"</f>
        <v>16 days</v>
      </c>
      <c r="I151" t="s">
        <v>623</v>
      </c>
      <c r="J151" t="str">
        <f>"Create "&amp;ROUNDUP(Investments!$C$7/5,0)&amp;" random gemstone(s)."</f>
        <v>Create 3 random gemstone(s).</v>
      </c>
      <c r="AM151" s="99" t="s">
        <v>827</v>
      </c>
      <c r="AN151" s="99">
        <v>1</v>
      </c>
    </row>
    <row r="152" spans="1:40" ht="12.75">
      <c r="A152" t="s">
        <v>105</v>
      </c>
      <c r="B152" t="s">
        <v>80</v>
      </c>
      <c r="C152" s="99" t="s">
        <v>255</v>
      </c>
      <c r="D152">
        <v>225</v>
      </c>
      <c r="E152">
        <v>15</v>
      </c>
      <c r="F152">
        <f>E152+3*Investments!$C$7+Investments!$C$16+Investments!$C$17</f>
        <v>83</v>
      </c>
      <c r="G152" t="str">
        <f>10+10*Investments!$C$7&amp;" feet"</f>
        <v>160 feet</v>
      </c>
      <c r="H152" t="str">
        <f>1+Investments!$C$7&amp;" days"</f>
        <v>16 days</v>
      </c>
      <c r="I152" t="s">
        <v>623</v>
      </c>
      <c r="AM152" s="99" t="s">
        <v>813</v>
      </c>
      <c r="AN152" s="99">
        <v>2</v>
      </c>
    </row>
    <row r="153" spans="1:40" ht="12.75">
      <c r="A153" t="s">
        <v>105</v>
      </c>
      <c r="B153" t="s">
        <v>81</v>
      </c>
      <c r="C153" s="99" t="s">
        <v>256</v>
      </c>
      <c r="D153">
        <v>225</v>
      </c>
      <c r="E153">
        <v>15</v>
      </c>
      <c r="F153">
        <f>E153+3*Investments!$C$7+Investments!$C$16+Investments!$C$17</f>
        <v>83</v>
      </c>
      <c r="G153" t="str">
        <f>10+10*Investments!$C$7&amp;" feet"</f>
        <v>160 feet</v>
      </c>
      <c r="H153" t="str">
        <f>1+Investments!$C$7&amp;" days"</f>
        <v>16 days</v>
      </c>
      <c r="I153" t="s">
        <v>623</v>
      </c>
      <c r="AM153" s="99" t="s">
        <v>824</v>
      </c>
      <c r="AN153" s="99">
        <v>6</v>
      </c>
    </row>
    <row r="154" spans="1:40" ht="12.75">
      <c r="A154" t="s">
        <v>105</v>
      </c>
      <c r="B154" t="s">
        <v>82</v>
      </c>
      <c r="C154" s="99" t="s">
        <v>257</v>
      </c>
      <c r="D154">
        <v>250</v>
      </c>
      <c r="E154">
        <v>10</v>
      </c>
      <c r="F154">
        <f>E154+3*Investments!$C$7+Investments!$C$16+Investments!$C$17</f>
        <v>78</v>
      </c>
      <c r="G154" t="str">
        <f>10+10*Investments!$C$7&amp;" feet"</f>
        <v>160 feet</v>
      </c>
      <c r="H154" t="s">
        <v>667</v>
      </c>
      <c r="I154" t="s">
        <v>623</v>
      </c>
      <c r="AM154" s="99" t="s">
        <v>830</v>
      </c>
      <c r="AN154" s="99">
        <v>5</v>
      </c>
    </row>
    <row r="155" spans="1:40" ht="12.75">
      <c r="A155" t="s">
        <v>105</v>
      </c>
      <c r="B155" t="s">
        <v>83</v>
      </c>
      <c r="C155" s="99" t="s">
        <v>258</v>
      </c>
      <c r="D155">
        <v>225</v>
      </c>
      <c r="E155">
        <v>25</v>
      </c>
      <c r="F155">
        <f>E155+3*Investments!$C$7+Investments!$C$16+Investments!$C$17</f>
        <v>93</v>
      </c>
      <c r="G155" t="s">
        <v>672</v>
      </c>
      <c r="H155" t="s">
        <v>626</v>
      </c>
      <c r="I155" t="s">
        <v>623</v>
      </c>
      <c r="J155" t="str">
        <f>"Control Chance is "&amp;20+3*Investments!$C$7+Investments!C16+Investments!C17&amp;"% and the Elemental will have "&amp;15+5*Investments!$C$7&amp;" EN/FT."</f>
        <v>Control Chance is 88% and the Elemental will have 90 EN/FT.</v>
      </c>
      <c r="AM155" s="99" t="s">
        <v>816</v>
      </c>
      <c r="AN155" s="99">
        <v>1.5</v>
      </c>
    </row>
    <row r="156" spans="1:40" ht="12.75">
      <c r="A156" t="s">
        <v>105</v>
      </c>
      <c r="B156" t="s">
        <v>84</v>
      </c>
      <c r="C156" s="99" t="s">
        <v>259</v>
      </c>
      <c r="D156">
        <v>650</v>
      </c>
      <c r="E156">
        <v>1</v>
      </c>
      <c r="F156">
        <f>E156+3*Investments!$C$7+Investments!$C$16+Investments!$C$17</f>
        <v>69</v>
      </c>
      <c r="G156" t="str">
        <f>30+10*Investments!$C$7&amp;" feet"</f>
        <v>180 feet</v>
      </c>
      <c r="H156" t="s">
        <v>629</v>
      </c>
      <c r="I156" t="s">
        <v>650</v>
      </c>
      <c r="J156" t="s">
        <v>666</v>
      </c>
      <c r="AM156" s="99" t="s">
        <v>817</v>
      </c>
      <c r="AN156" s="99">
        <v>50</v>
      </c>
    </row>
    <row r="157" spans="1:40" ht="12.75">
      <c r="A157" t="s">
        <v>105</v>
      </c>
      <c r="B157" t="s">
        <v>85</v>
      </c>
      <c r="C157" s="99" t="s">
        <v>260</v>
      </c>
      <c r="D157">
        <v>150</v>
      </c>
      <c r="E157">
        <v>10</v>
      </c>
      <c r="F157">
        <f>E157+3*Investments!$C$7+Investments!$C$16+Investments!$C$17</f>
        <v>78</v>
      </c>
      <c r="G157" t="str">
        <f>20+10*Investments!$C$7&amp;" feet"</f>
        <v>170 feet</v>
      </c>
      <c r="H157" t="str">
        <f>10+10*Investments!$C$7&amp;" minutes"</f>
        <v>160 minutes</v>
      </c>
      <c r="I157" t="s">
        <v>623</v>
      </c>
      <c r="AM157" s="99" t="s">
        <v>755</v>
      </c>
      <c r="AN157" s="99">
        <v>1</v>
      </c>
    </row>
    <row r="158" spans="1:40" ht="12.75">
      <c r="A158" t="s">
        <v>105</v>
      </c>
      <c r="B158" t="s">
        <v>86</v>
      </c>
      <c r="C158" s="99" t="s">
        <v>261</v>
      </c>
      <c r="D158">
        <v>250</v>
      </c>
      <c r="E158">
        <v>5</v>
      </c>
      <c r="F158">
        <f>E158+3*Investments!$C$7+Investments!$C$16+Investments!$C$17</f>
        <v>73</v>
      </c>
      <c r="G158" t="str">
        <f>20+10*Investments!$C$7&amp;" feet"</f>
        <v>170 feet</v>
      </c>
      <c r="H158" t="str">
        <f>10+10*Investments!$C$7&amp;" minutes"</f>
        <v>160 minutes</v>
      </c>
      <c r="I158" t="s">
        <v>623</v>
      </c>
      <c r="AM158" s="99" t="s">
        <v>815</v>
      </c>
      <c r="AN158" s="99">
        <v>10</v>
      </c>
    </row>
    <row r="159" spans="1:40" ht="12.75">
      <c r="A159" t="s">
        <v>105</v>
      </c>
      <c r="B159" t="s">
        <v>98</v>
      </c>
      <c r="C159" s="99" t="s">
        <v>237</v>
      </c>
      <c r="D159">
        <v>200</v>
      </c>
      <c r="E159">
        <v>10</v>
      </c>
      <c r="F159">
        <f>E159+3*Investments!$C$7+Investments!$C$16+Investments!$C$17</f>
        <v>78</v>
      </c>
      <c r="G159" t="str">
        <f>5+Investments!$C$7&amp;" feet"</f>
        <v>20 feet</v>
      </c>
      <c r="H159" t="str">
        <f>30+5*Investments!$C$7&amp;" seconds"</f>
        <v>105 seconds</v>
      </c>
      <c r="I159" t="s">
        <v>623</v>
      </c>
      <c r="J159" t="str">
        <f>"Tunnel is 10 feet in diameter and 20 feet deep plus "&amp;Investments!$C$7&amp;" feet to either diameter or depth."</f>
        <v>Tunnel is 10 feet in diameter and 20 feet deep plus 15 feet to either diameter or depth.</v>
      </c>
      <c r="AM159" s="99" t="s">
        <v>819</v>
      </c>
      <c r="AN159" s="99">
        <v>12</v>
      </c>
    </row>
    <row r="160" spans="1:40" ht="12.75">
      <c r="A160" t="s">
        <v>105</v>
      </c>
      <c r="B160" t="s">
        <v>99</v>
      </c>
      <c r="C160" s="99" t="s">
        <v>262</v>
      </c>
      <c r="D160">
        <v>250</v>
      </c>
      <c r="E160">
        <v>20</v>
      </c>
      <c r="F160">
        <f>E160+3*Investments!$C$7+Investments!$C$16+Investments!$C$17</f>
        <v>88</v>
      </c>
      <c r="G160" t="s">
        <v>670</v>
      </c>
      <c r="H160" t="str">
        <f>60+10*ROUNDUP(Investments!$C$7/2,0)&amp;" seconds"</f>
        <v>140 seconds</v>
      </c>
      <c r="I160" t="s">
        <v>623</v>
      </c>
      <c r="J160" t="s">
        <v>673</v>
      </c>
      <c r="AM160" s="99" t="s">
        <v>831</v>
      </c>
      <c r="AN160" s="99">
        <v>15</v>
      </c>
    </row>
    <row r="161" spans="1:40" ht="12.75">
      <c r="A161" t="s">
        <v>105</v>
      </c>
      <c r="B161" t="s">
        <v>100</v>
      </c>
      <c r="C161" s="99" t="s">
        <v>263</v>
      </c>
      <c r="D161">
        <v>300</v>
      </c>
      <c r="E161">
        <v>7</v>
      </c>
      <c r="F161">
        <f>E161+3*Investments!$C$7+Investments!$C$16+Investments!$C$17</f>
        <v>75</v>
      </c>
      <c r="G161" t="str">
        <f>25+5*Investments!$C$7&amp;" feet"</f>
        <v>100 feet</v>
      </c>
      <c r="H161" t="str">
        <f>10+10*ROUNDUP(Investments!$C$7/2,0)&amp;" seconds"</f>
        <v>90 seconds</v>
      </c>
      <c r="I161" t="str">
        <f>"[D-5] + "&amp;Investments!$C$7</f>
        <v>[D-5] + 15</v>
      </c>
      <c r="J161" t="str">
        <f>"Area effected is of "&amp;5+Investments!$C$7&amp;" feet in diameter."</f>
        <v>Area effected is of 20 feet in diameter.</v>
      </c>
      <c r="AM161" s="99" t="s">
        <v>828</v>
      </c>
      <c r="AN161" s="99">
        <v>1</v>
      </c>
    </row>
    <row r="162" spans="1:40" ht="12.75">
      <c r="A162" t="s">
        <v>105</v>
      </c>
      <c r="B162" t="s">
        <v>101</v>
      </c>
      <c r="C162" s="99" t="s">
        <v>264</v>
      </c>
      <c r="D162">
        <v>300</v>
      </c>
      <c r="E162">
        <v>20</v>
      </c>
      <c r="F162">
        <f>E162+3*Investments!$C$7+Investments!$C$16+Investments!$C$17</f>
        <v>88</v>
      </c>
      <c r="G162" t="str">
        <f>30+10*Investments!$C$7&amp;" feet"</f>
        <v>180 feet</v>
      </c>
      <c r="H162" t="s">
        <v>629</v>
      </c>
      <c r="I162" t="str">
        <f>"[D-4] + "&amp;ROUNDUP(Investments!$C$7/2,0)</f>
        <v>[D-4] + 8</v>
      </c>
      <c r="J162" t="str">
        <f>"Spell creates "&amp;1+Investments!$C$7&amp;" javelins which effect target or targets."</f>
        <v>Spell creates 16 javelins which effect target or targets.</v>
      </c>
      <c r="AM162" s="99" t="s">
        <v>823</v>
      </c>
      <c r="AN162" s="99">
        <v>1200</v>
      </c>
    </row>
    <row r="163" spans="1:40" ht="12.75">
      <c r="A163" t="s">
        <v>105</v>
      </c>
      <c r="B163" t="s">
        <v>102</v>
      </c>
      <c r="C163" s="99" t="s">
        <v>265</v>
      </c>
      <c r="D163">
        <v>400</v>
      </c>
      <c r="E163">
        <v>10</v>
      </c>
      <c r="F163">
        <f>E163+3*Investments!$C$7+Investments!$C$16+Investments!$C$17</f>
        <v>78</v>
      </c>
      <c r="G163" t="str">
        <f>10+10*Investments!$C$7&amp;" feet"</f>
        <v>160 feet</v>
      </c>
      <c r="H163" t="str">
        <f>3+Investments!$C$7&amp;" hours"</f>
        <v>18 hours</v>
      </c>
      <c r="I163" t="s">
        <v>623</v>
      </c>
      <c r="J163" t="str">
        <f>"Turns "&amp;3+Investments!$C$7&amp;" cubic feet of stone to mud or vice versa."</f>
        <v>Turns 18 cubic feet of stone to mud or vice versa.</v>
      </c>
      <c r="AM163" s="99" t="s">
        <v>753</v>
      </c>
      <c r="AN163" s="99">
        <v>32</v>
      </c>
    </row>
    <row r="164" spans="1:40" ht="12.75">
      <c r="A164" t="s">
        <v>106</v>
      </c>
      <c r="B164" t="s">
        <v>64</v>
      </c>
      <c r="C164" s="99" t="s">
        <v>266</v>
      </c>
      <c r="D164">
        <v>50</v>
      </c>
      <c r="F164" t="s">
        <v>633</v>
      </c>
      <c r="G164" t="str">
        <f>10+10*Investments!$C$7&amp;" feet"</f>
        <v>160 feet</v>
      </c>
      <c r="H164" t="s">
        <v>626</v>
      </c>
      <c r="I164" t="s">
        <v>623</v>
      </c>
      <c r="AM164" s="99" t="s">
        <v>814</v>
      </c>
      <c r="AN164" s="99">
        <v>6</v>
      </c>
    </row>
    <row r="165" spans="1:40" ht="12.75">
      <c r="A165" t="s">
        <v>106</v>
      </c>
      <c r="B165" t="s">
        <v>88</v>
      </c>
      <c r="C165" s="99" t="s">
        <v>267</v>
      </c>
      <c r="D165">
        <v>100</v>
      </c>
      <c r="F165" t="s">
        <v>633</v>
      </c>
      <c r="G165" t="s">
        <v>622</v>
      </c>
      <c r="H165" t="s">
        <v>633</v>
      </c>
      <c r="I165" t="s">
        <v>623</v>
      </c>
      <c r="AM165" s="99" t="s">
        <v>826</v>
      </c>
      <c r="AN165" s="99">
        <v>30</v>
      </c>
    </row>
    <row r="166" spans="1:40" ht="12.75">
      <c r="A166" t="s">
        <v>106</v>
      </c>
      <c r="B166" t="s">
        <v>89</v>
      </c>
      <c r="C166" s="99" t="s">
        <v>268</v>
      </c>
      <c r="D166">
        <v>75</v>
      </c>
      <c r="F166" s="138" t="str">
        <f>"PC + "&amp;5*Investments!$C$7+Investments!$C$16+Investments!$C$17</f>
        <v>PC + 98</v>
      </c>
      <c r="G166" t="s">
        <v>622</v>
      </c>
      <c r="H166" t="s">
        <v>623</v>
      </c>
      <c r="I166" t="s">
        <v>623</v>
      </c>
      <c r="AM166" s="99" t="s">
        <v>752</v>
      </c>
      <c r="AN166" s="99">
        <v>3</v>
      </c>
    </row>
    <row r="167" spans="1:40" ht="12.75">
      <c r="A167" t="s">
        <v>106</v>
      </c>
      <c r="B167" t="s">
        <v>65</v>
      </c>
      <c r="C167" s="99" t="s">
        <v>269</v>
      </c>
      <c r="D167">
        <v>50</v>
      </c>
      <c r="E167">
        <v>60</v>
      </c>
      <c r="F167">
        <f>E167+3*Investments!$C$7+Investments!$C$16+Investments!$C$17</f>
        <v>128</v>
      </c>
      <c r="G167" t="s">
        <v>634</v>
      </c>
      <c r="H167" t="str">
        <f>1+Investments!$C$7&amp;" hours"</f>
        <v>16 hours</v>
      </c>
      <c r="I167" t="s">
        <v>623</v>
      </c>
      <c r="AM167" s="99" t="s">
        <v>751</v>
      </c>
      <c r="AN167" s="99">
        <v>3</v>
      </c>
    </row>
    <row r="168" spans="1:40" ht="12.75">
      <c r="A168" t="s">
        <v>106</v>
      </c>
      <c r="B168" t="s">
        <v>66</v>
      </c>
      <c r="C168" s="99" t="s">
        <v>270</v>
      </c>
      <c r="D168">
        <v>75</v>
      </c>
      <c r="E168">
        <v>50</v>
      </c>
      <c r="F168">
        <f>E168+3*Investments!$C$7+Investments!$C$16+Investments!$C$17</f>
        <v>118</v>
      </c>
      <c r="G168" t="str">
        <f>15+15*Investments!$C$7&amp;" feet"</f>
        <v>240 feet</v>
      </c>
      <c r="H168" t="str">
        <f>"[D - 5] + "&amp;15*Investments!$C$7&amp;" minutes"</f>
        <v>[D - 5] + 225 minutes</v>
      </c>
      <c r="I168" t="s">
        <v>623</v>
      </c>
      <c r="AM168" s="99" t="s">
        <v>756</v>
      </c>
      <c r="AN168" s="99">
        <v>0.5</v>
      </c>
    </row>
    <row r="169" spans="1:40" ht="12.75">
      <c r="A169" t="s">
        <v>106</v>
      </c>
      <c r="B169" t="s">
        <v>67</v>
      </c>
      <c r="C169" s="99" t="s">
        <v>271</v>
      </c>
      <c r="D169">
        <v>75</v>
      </c>
      <c r="E169">
        <v>50</v>
      </c>
      <c r="F169">
        <f>E169+3*Investments!$C$7+Investments!$C$16+Investments!$C$17</f>
        <v>118</v>
      </c>
      <c r="G169" t="str">
        <f>15+15*Investments!$C$7&amp;" feet"</f>
        <v>240 feet</v>
      </c>
      <c r="H169" t="str">
        <f>"[D - 5] + "&amp;15*Investments!$C$7&amp;" minutes"</f>
        <v>[D - 5] + 225 minutes</v>
      </c>
      <c r="I169" t="s">
        <v>623</v>
      </c>
      <c r="AM169" s="99" t="s">
        <v>822</v>
      </c>
      <c r="AN169" s="99">
        <f>80*12</f>
        <v>960</v>
      </c>
    </row>
    <row r="170" spans="1:40" ht="12.75">
      <c r="A170" t="s">
        <v>106</v>
      </c>
      <c r="B170" t="s">
        <v>68</v>
      </c>
      <c r="C170" s="99" t="s">
        <v>272</v>
      </c>
      <c r="D170">
        <v>150</v>
      </c>
      <c r="E170">
        <v>10</v>
      </c>
      <c r="F170">
        <f>E170+3*Investments!$C$7+Investments!$C$16+Investments!$C$17</f>
        <v>78</v>
      </c>
      <c r="G170" t="str">
        <f>15+Investments!$C$7&amp;" feet"</f>
        <v>30 feet</v>
      </c>
      <c r="H170" t="str">
        <f>30+30*Investments!$C$7&amp;" minutes"</f>
        <v>480 minutes</v>
      </c>
      <c r="I170" t="s">
        <v>623</v>
      </c>
      <c r="J170" t="str">
        <f>-2-2*Investments!$C$7&amp;"% from attacker's Strike Chance. "</f>
        <v>-32% from attacker's Strike Chance. </v>
      </c>
      <c r="AM170" s="99" t="s">
        <v>821</v>
      </c>
      <c r="AN170" s="99">
        <v>36</v>
      </c>
    </row>
    <row r="171" spans="1:10" ht="12.75">
      <c r="A171" t="s">
        <v>106</v>
      </c>
      <c r="B171" t="s">
        <v>69</v>
      </c>
      <c r="C171" s="99" t="s">
        <v>273</v>
      </c>
      <c r="D171">
        <v>150</v>
      </c>
      <c r="E171">
        <v>15</v>
      </c>
      <c r="F171">
        <f>E171+3*Investments!$C$7+Investments!$C$16+Investments!$C$17</f>
        <v>83</v>
      </c>
      <c r="G171" t="str">
        <f>15+15*Investments!$C$7&amp;" feet"</f>
        <v>240 feet</v>
      </c>
      <c r="H171" t="str">
        <f>10+10*Investments!$C$7&amp;" minutes"</f>
        <v>160 minutes</v>
      </c>
      <c r="I171" t="str">
        <f>"[D-5] + "&amp;Investments!$C$7</f>
        <v>[D-5] + 15</v>
      </c>
      <c r="J171" t="s">
        <v>674</v>
      </c>
    </row>
    <row r="172" spans="1:10" ht="12.75">
      <c r="A172" t="s">
        <v>106</v>
      </c>
      <c r="B172" t="s">
        <v>70</v>
      </c>
      <c r="C172" s="99" t="s">
        <v>274</v>
      </c>
      <c r="D172">
        <v>100</v>
      </c>
      <c r="E172">
        <v>20</v>
      </c>
      <c r="F172">
        <f>E172+3*Investments!$C$7+Investments!$C$16+Investments!$C$17</f>
        <v>88</v>
      </c>
      <c r="G172" t="str">
        <f>15+15*Investments!$C$7&amp;" feet"</f>
        <v>240 feet</v>
      </c>
      <c r="H172" t="str">
        <f>10+10*Investments!$C$7&amp;" minutes"</f>
        <v>160 minutes</v>
      </c>
      <c r="I172" t="str">
        <f>"[D-5] + "&amp;Investments!$C$7</f>
        <v>[D-5] + 15</v>
      </c>
      <c r="J172" t="s">
        <v>675</v>
      </c>
    </row>
    <row r="173" spans="1:9" ht="12.75">
      <c r="A173" t="s">
        <v>106</v>
      </c>
      <c r="B173" t="s">
        <v>71</v>
      </c>
      <c r="C173" s="99" t="s">
        <v>275</v>
      </c>
      <c r="D173">
        <v>150</v>
      </c>
      <c r="E173">
        <v>15</v>
      </c>
      <c r="F173">
        <f>E173+3*Investments!$C$7+Investments!$C$16+Investments!$C$17</f>
        <v>83</v>
      </c>
      <c r="G173" t="str">
        <f>15+15*Investments!$C$7&amp;" feet"</f>
        <v>240 feet</v>
      </c>
      <c r="H173" t="str">
        <f>15+15*Investments!$C$7&amp;" minutes"</f>
        <v>240 minutes</v>
      </c>
      <c r="I173" t="s">
        <v>623</v>
      </c>
    </row>
    <row r="174" spans="1:39" ht="12.75">
      <c r="A174" t="s">
        <v>106</v>
      </c>
      <c r="B174" t="s">
        <v>72</v>
      </c>
      <c r="C174" s="99" t="s">
        <v>276</v>
      </c>
      <c r="D174">
        <v>200</v>
      </c>
      <c r="E174">
        <v>15</v>
      </c>
      <c r="F174">
        <f>E174+3*Investments!$C$7+Investments!$C$16+Investments!$C$17</f>
        <v>83</v>
      </c>
      <c r="G174" t="s">
        <v>652</v>
      </c>
      <c r="H174" t="str">
        <f>10+10*Investments!$C$7&amp;" minutes"</f>
        <v>160 minutes</v>
      </c>
      <c r="I174" t="s">
        <v>623</v>
      </c>
      <c r="J174" t="str">
        <f>"Increase target's PS "&amp;1+ROUNDUP(Investments!$C$7/2,0)</f>
        <v>Increase target's PS 9</v>
      </c>
      <c r="AM174" s="153" t="s">
        <v>758</v>
      </c>
    </row>
    <row r="175" spans="1:40" ht="12.75">
      <c r="A175" t="s">
        <v>106</v>
      </c>
      <c r="B175" t="s">
        <v>73</v>
      </c>
      <c r="C175" s="99" t="s">
        <v>277</v>
      </c>
      <c r="D175">
        <v>100</v>
      </c>
      <c r="E175">
        <v>50</v>
      </c>
      <c r="F175">
        <f>E175+3*Investments!$C$7+Investments!$C$16+Investments!$C$17</f>
        <v>118</v>
      </c>
      <c r="G175" t="str">
        <f>1+Investments!$C$7&amp;" feet"</f>
        <v>16 feet</v>
      </c>
      <c r="H175" t="str">
        <f>1+Investments!$C$7&amp;" hours"</f>
        <v>16 hours</v>
      </c>
      <c r="I175" t="s">
        <v>623</v>
      </c>
      <c r="AM175" s="99" t="s">
        <v>770</v>
      </c>
      <c r="AN175" s="99">
        <f>2900*12</f>
        <v>34800</v>
      </c>
    </row>
    <row r="176" spans="1:40" ht="12.75">
      <c r="A176" t="s">
        <v>106</v>
      </c>
      <c r="B176" s="99" t="s">
        <v>74</v>
      </c>
      <c r="C176" s="99" t="s">
        <v>278</v>
      </c>
      <c r="D176">
        <v>200</v>
      </c>
      <c r="E176">
        <v>40</v>
      </c>
      <c r="F176">
        <f>E176+3*Investments!$C$7+Investments!$C$16+Investments!$C$17</f>
        <v>108</v>
      </c>
      <c r="G176" t="s">
        <v>634</v>
      </c>
      <c r="H176" t="s">
        <v>629</v>
      </c>
      <c r="I176" t="s">
        <v>623</v>
      </c>
      <c r="J176" t="str">
        <f>"Heals "&amp;1+ROUNDUP(Investments!$C$7/2,0)&amp;" EN or FT."</f>
        <v>Heals 9 EN or FT.</v>
      </c>
      <c r="AM176" s="99" t="s">
        <v>766</v>
      </c>
      <c r="AN176" s="99">
        <f>1100*12</f>
        <v>13200</v>
      </c>
    </row>
    <row r="177" spans="1:40" ht="12.75">
      <c r="A177" t="s">
        <v>106</v>
      </c>
      <c r="B177" s="99" t="s">
        <v>75</v>
      </c>
      <c r="C177" s="99" t="s">
        <v>279</v>
      </c>
      <c r="D177">
        <v>250</v>
      </c>
      <c r="E177">
        <v>30</v>
      </c>
      <c r="F177">
        <f>E177+3*Investments!$C$7+Investments!$C$16+Investments!$C$17</f>
        <v>98</v>
      </c>
      <c r="G177" t="str">
        <f>15+15*Investments!$C$7&amp;" feet"</f>
        <v>240 feet</v>
      </c>
      <c r="H177" t="str">
        <f>"[D - 5] + "&amp;20*Investments!$C$7&amp;" seconds"</f>
        <v>[D - 5] + 300 seconds</v>
      </c>
      <c r="I177" t="str">
        <f>" + "&amp;1+ROUNDUP(Investments!$C$7/3,0)</f>
        <v> + 6</v>
      </c>
      <c r="J177" t="str">
        <f>"Strike Chance increased by "&amp;1+Investments!$C$7&amp;"%.  Light characters suffer +"&amp;1+Investments!$C$7&amp;" damage vs Shadowsword and vice versa."</f>
        <v>Strike Chance increased by 16%.  Light characters suffer +16 damage vs Shadowsword and vice versa.</v>
      </c>
      <c r="AM177" s="99" t="s">
        <v>761</v>
      </c>
      <c r="AN177" s="99">
        <f>375*12</f>
        <v>4500</v>
      </c>
    </row>
    <row r="178" spans="1:40" ht="12.75">
      <c r="A178" t="s">
        <v>106</v>
      </c>
      <c r="B178" s="99" t="s">
        <v>76</v>
      </c>
      <c r="C178" s="99" t="s">
        <v>280</v>
      </c>
      <c r="D178">
        <v>200</v>
      </c>
      <c r="E178">
        <v>35</v>
      </c>
      <c r="F178">
        <f>E178+3*Investments!$C$7+Investments!$C$16+Investments!$C$17</f>
        <v>103</v>
      </c>
      <c r="G178" t="str">
        <f>30+15*Investments!$C$7&amp;" feet"</f>
        <v>255 feet</v>
      </c>
      <c r="H178" t="s">
        <v>629</v>
      </c>
      <c r="I178" t="str">
        <f>"[D-4] + "&amp;Investments!$C$7</f>
        <v>[D-4] + 15</v>
      </c>
      <c r="J178" t="s">
        <v>666</v>
      </c>
      <c r="AM178" s="99" t="s">
        <v>764</v>
      </c>
      <c r="AN178" s="99">
        <f>115*12</f>
        <v>1380</v>
      </c>
    </row>
    <row r="179" spans="1:40" ht="12.75">
      <c r="A179" t="s">
        <v>106</v>
      </c>
      <c r="B179" s="99" t="s">
        <v>77</v>
      </c>
      <c r="C179" s="99" t="s">
        <v>281</v>
      </c>
      <c r="D179">
        <v>200</v>
      </c>
      <c r="E179">
        <v>10</v>
      </c>
      <c r="F179">
        <f>E179+3*Investments!$C$7+Investments!$C$16+Investments!$C$17</f>
        <v>78</v>
      </c>
      <c r="G179" t="str">
        <f>60+15*Investments!$C$7&amp;" feet"</f>
        <v>285 feet</v>
      </c>
      <c r="H179" t="s">
        <v>629</v>
      </c>
      <c r="I179" t="str">
        <f>"[D-4] + "&amp;Investments!$C$7</f>
        <v>[D-4] + 15</v>
      </c>
      <c r="J179" t="str">
        <f>"Meteor arrives in "&amp;120-10*Investments!$C$7&amp;" seconds.  Crashing into a 25 foot diameter area."</f>
        <v>Meteor arrives in -30 seconds.  Crashing into a 25 foot diameter area.</v>
      </c>
      <c r="AM179" s="99" t="s">
        <v>762</v>
      </c>
      <c r="AN179" s="99">
        <f>12*14</f>
        <v>168</v>
      </c>
    </row>
    <row r="180" spans="1:40" ht="12.75">
      <c r="A180" t="s">
        <v>106</v>
      </c>
      <c r="B180" s="99" t="s">
        <v>78</v>
      </c>
      <c r="C180" s="99" t="s">
        <v>282</v>
      </c>
      <c r="D180">
        <v>250</v>
      </c>
      <c r="E180">
        <v>25</v>
      </c>
      <c r="F180">
        <f>E180+3*Investments!$C$7+Investments!$C$16+Investments!$C$17</f>
        <v>93</v>
      </c>
      <c r="G180" t="str">
        <f>10+10*Investments!$C$7&amp;" feet"</f>
        <v>160 feet</v>
      </c>
      <c r="H180" t="str">
        <f>30+30*Investments!$C$7&amp;" minutes"</f>
        <v>480 minutes</v>
      </c>
      <c r="I180" t="s">
        <v>623</v>
      </c>
      <c r="J180" t="str">
        <f>"Wings can fly at a rate upto "&amp;30+Investments!$C$7&amp;" MPH."</f>
        <v>Wings can fly at a rate upto 45 MPH.</v>
      </c>
      <c r="AM180" s="99" t="s">
        <v>760</v>
      </c>
      <c r="AN180" s="99">
        <f>5*12</f>
        <v>60</v>
      </c>
    </row>
    <row r="181" spans="1:40" ht="12.75">
      <c r="A181" t="s">
        <v>106</v>
      </c>
      <c r="B181" s="99" t="s">
        <v>79</v>
      </c>
      <c r="C181" s="99" t="s">
        <v>283</v>
      </c>
      <c r="D181">
        <v>250</v>
      </c>
      <c r="E181">
        <v>25</v>
      </c>
      <c r="F181">
        <f>E181+3*Investments!$C$7+Investments!$C$16+Investments!$C$17</f>
        <v>93</v>
      </c>
      <c r="G181" t="str">
        <f>30+15*Investments!$C$7&amp;" feet"</f>
        <v>255 feet</v>
      </c>
      <c r="H181" t="str">
        <f>30+15*Investments!$C$7&amp;" minutes Max (Concentration)"</f>
        <v>255 minutes Max (Concentration)</v>
      </c>
      <c r="I181" t="str">
        <f>"[D-2] + "&amp;ROUNDUP(Investments!$C$7/2,0)&amp;" / pulse"</f>
        <v>[D-2] + 8 / pulse</v>
      </c>
      <c r="J181" t="str">
        <f>"May snare upto "&amp;Investments!$C$7&amp;" entities.  Passive Only (save for half).  5 points B damage to cut."</f>
        <v>May snare upto 15 entities.  Passive Only (save for half).  5 points B damage to cut.</v>
      </c>
      <c r="AM181" s="99" t="s">
        <v>768</v>
      </c>
      <c r="AN181" s="99">
        <f>16500*12</f>
        <v>198000</v>
      </c>
    </row>
    <row r="182" spans="1:40" ht="12.75">
      <c r="A182" t="s">
        <v>106</v>
      </c>
      <c r="B182" s="99" t="s">
        <v>80</v>
      </c>
      <c r="C182" s="99" t="s">
        <v>284</v>
      </c>
      <c r="D182">
        <v>250</v>
      </c>
      <c r="E182">
        <v>26</v>
      </c>
      <c r="F182">
        <f>E182+3*Investments!$C$7+Investments!$C$16+Investments!$C$17</f>
        <v>94</v>
      </c>
      <c r="G182" t="str">
        <f>30+15*Investments!$C$7&amp;" feet"</f>
        <v>255 feet</v>
      </c>
      <c r="H182" t="str">
        <f>30+15*Investments!$C$7&amp;" minutes Max (Concentration)"</f>
        <v>255 minutes Max (Concentration)</v>
      </c>
      <c r="I182" t="str">
        <f>"[D-2] + "&amp;ROUNDUP(Investments!$C$7/2,0)&amp;" / pulse"</f>
        <v>[D-2] + 8 / pulse</v>
      </c>
      <c r="J182" t="str">
        <f>"May snare upto "&amp;Investments!$C$7&amp;" entities.  Passive Only (save for half).  5 points B damage to cut."</f>
        <v>May snare upto 15 entities.  Passive Only (save for half).  5 points B damage to cut.</v>
      </c>
      <c r="AM182" s="99" t="s">
        <v>769</v>
      </c>
      <c r="AN182" s="99">
        <f>18000*12</f>
        <v>216000</v>
      </c>
    </row>
    <row r="183" spans="1:40" ht="12.75">
      <c r="A183" t="s">
        <v>106</v>
      </c>
      <c r="B183" s="99" t="s">
        <v>81</v>
      </c>
      <c r="C183" s="99" t="s">
        <v>285</v>
      </c>
      <c r="D183">
        <v>500</v>
      </c>
      <c r="E183">
        <v>1</v>
      </c>
      <c r="F183">
        <f>E183+3*Investments!$C$7+Investments!$C$16+Investments!$C$17</f>
        <v>69</v>
      </c>
      <c r="G183" t="str">
        <f>60+15*Investments!$C$7&amp;" feet"</f>
        <v>285 feet</v>
      </c>
      <c r="H183" t="s">
        <v>629</v>
      </c>
      <c r="I183" t="str">
        <f>"[D-4] + "&amp;Investments!$C$7</f>
        <v>[D-4] + 15</v>
      </c>
      <c r="J183" t="str">
        <f>"Meteor arrives in "&amp;120-10*Investments!$C$7&amp;" seconds.  Crashing into 3 x 25' diameter area with 1' min overlap."</f>
        <v>Meteor arrives in -30 seconds.  Crashing into 3 x 25' diameter area with 1' min overlap.</v>
      </c>
      <c r="AM183" s="99" t="s">
        <v>763</v>
      </c>
      <c r="AN183" s="99">
        <f>65*12</f>
        <v>780</v>
      </c>
    </row>
    <row r="184" spans="1:40" ht="12.75">
      <c r="A184" t="s">
        <v>106</v>
      </c>
      <c r="B184" s="99" t="s">
        <v>82</v>
      </c>
      <c r="C184" s="99" t="s">
        <v>286</v>
      </c>
      <c r="D184">
        <v>450</v>
      </c>
      <c r="E184">
        <v>2</v>
      </c>
      <c r="F184">
        <f>E184+3*Investments!$C$7+Investments!$C$16+Investments!$C$17</f>
        <v>70</v>
      </c>
      <c r="G184" t="str">
        <f>60+15*Investments!$C$7&amp;" feet"</f>
        <v>285 feet</v>
      </c>
      <c r="H184" t="str">
        <f>1+1*Investments!$C$7&amp;" minutes Max (Concentration)"</f>
        <v>16 minutes Max (Concentration)</v>
      </c>
      <c r="I184" t="s">
        <v>623</v>
      </c>
      <c r="J184" t="str">
        <f>"One target's force of gravity increases by "&amp;1+Investments!$C$7&amp;" gravities."</f>
        <v>One target's force of gravity increases by 16 gravities.</v>
      </c>
      <c r="AM184" s="99" t="s">
        <v>765</v>
      </c>
      <c r="AN184" s="99">
        <f>95*12</f>
        <v>1140</v>
      </c>
    </row>
    <row r="185" spans="1:40" ht="12.75">
      <c r="A185" t="s">
        <v>106</v>
      </c>
      <c r="B185" s="99" t="s">
        <v>83</v>
      </c>
      <c r="C185" s="99" t="s">
        <v>287</v>
      </c>
      <c r="D185">
        <v>350</v>
      </c>
      <c r="E185">
        <v>2</v>
      </c>
      <c r="F185">
        <f>E185+3*Investments!$C$7+Investments!$C$16+Investments!$C$17</f>
        <v>70</v>
      </c>
      <c r="G185" t="str">
        <f>30+15*Investments!$C$7&amp;" feet"</f>
        <v>255 feet</v>
      </c>
      <c r="H185" t="s">
        <v>629</v>
      </c>
      <c r="I185" t="str">
        <f>"[D-4] + "&amp;Investments!$C$7</f>
        <v>[D-4] + 15</v>
      </c>
      <c r="J185" t="str">
        <f>"Column is 5' wide x 30' long plus "&amp;Investments!$C$7&amp;"' to either width or lengthgravities.  Plus Freight Roll."</f>
        <v>Column is 5' wide x 30' long plus 15' to either width or lengthgravities.  Plus Freight Roll.</v>
      </c>
      <c r="AM185" s="99" t="s">
        <v>767</v>
      </c>
      <c r="AN185" s="99">
        <f>10250*12</f>
        <v>123000</v>
      </c>
    </row>
    <row r="186" spans="1:40" ht="12.75">
      <c r="A186" t="s">
        <v>106</v>
      </c>
      <c r="B186" s="99" t="s">
        <v>84</v>
      </c>
      <c r="C186" s="99" t="s">
        <v>288</v>
      </c>
      <c r="D186">
        <v>550</v>
      </c>
      <c r="E186">
        <v>1</v>
      </c>
      <c r="F186">
        <f>E186+3*Investments!$C$7+Investments!$C$16+Investments!$C$17</f>
        <v>69</v>
      </c>
      <c r="G186" t="s">
        <v>634</v>
      </c>
      <c r="H186" t="s">
        <v>629</v>
      </c>
      <c r="I186" t="s">
        <v>623</v>
      </c>
      <c r="J186" t="str">
        <f>"Travel upto "&amp;5+Investments!$C$7&amp;" miles."</f>
        <v>Travel upto 20 miles.</v>
      </c>
      <c r="AM186" s="99" t="s">
        <v>759</v>
      </c>
      <c r="AN186" s="99">
        <f>140*12</f>
        <v>1680</v>
      </c>
    </row>
    <row r="187" spans="1:10" ht="12.75">
      <c r="A187" t="s">
        <v>106</v>
      </c>
      <c r="B187" s="99" t="s">
        <v>85</v>
      </c>
      <c r="C187" s="99" t="s">
        <v>289</v>
      </c>
      <c r="D187">
        <v>500</v>
      </c>
      <c r="E187">
        <v>1</v>
      </c>
      <c r="F187">
        <f>E187+3*Investments!$C$7+Investments!$C$16+Investments!$C$17</f>
        <v>69</v>
      </c>
      <c r="G187" t="str">
        <f>30+15*Investments!$C$7&amp;" feet"</f>
        <v>255 feet</v>
      </c>
      <c r="H187" t="s">
        <v>629</v>
      </c>
      <c r="I187" t="s">
        <v>650</v>
      </c>
      <c r="J187" t="s">
        <v>666</v>
      </c>
    </row>
    <row r="188" spans="1:10" ht="12.75">
      <c r="A188" t="s">
        <v>106</v>
      </c>
      <c r="B188" s="99" t="s">
        <v>86</v>
      </c>
      <c r="C188" s="99" t="s">
        <v>290</v>
      </c>
      <c r="D188">
        <v>350</v>
      </c>
      <c r="E188">
        <v>20</v>
      </c>
      <c r="F188">
        <f>E188+3*Investments!$C$7+Investments!$C$16+Investments!$C$17</f>
        <v>88</v>
      </c>
      <c r="G188" t="str">
        <f>15+15*Investments!$C$7&amp;" feet"</f>
        <v>240 feet</v>
      </c>
      <c r="H188" t="s">
        <v>629</v>
      </c>
      <c r="I188" t="s">
        <v>623</v>
      </c>
      <c r="J188" t="s">
        <v>676</v>
      </c>
    </row>
    <row r="189" spans="1:9" ht="12.75">
      <c r="A189" s="99" t="s">
        <v>291</v>
      </c>
      <c r="B189" s="99" t="s">
        <v>64</v>
      </c>
      <c r="C189" s="99" t="s">
        <v>292</v>
      </c>
      <c r="D189">
        <v>150</v>
      </c>
      <c r="E189">
        <v>20</v>
      </c>
      <c r="F189">
        <f>E189+4*Investments!$C$7+Investments!$C$16+Investments!$C$17</f>
        <v>103</v>
      </c>
      <c r="G189" t="s">
        <v>623</v>
      </c>
      <c r="H189" t="s">
        <v>626</v>
      </c>
      <c r="I189" t="s">
        <v>623</v>
      </c>
    </row>
    <row r="190" spans="1:10" ht="12.75">
      <c r="A190" s="99" t="s">
        <v>291</v>
      </c>
      <c r="B190" s="99" t="s">
        <v>65</v>
      </c>
      <c r="C190" s="99" t="s">
        <v>294</v>
      </c>
      <c r="D190">
        <v>75</v>
      </c>
      <c r="E190">
        <v>50</v>
      </c>
      <c r="F190">
        <f>E190+3*Investments!$C$7+Investments!$C$16+Investments!$C$17</f>
        <v>118</v>
      </c>
      <c r="G190" t="str">
        <f>15+15*Investments!$C$7&amp;" feet"</f>
        <v>240 feet</v>
      </c>
      <c r="H190" t="str">
        <f>15+15*Investments!$C$7&amp;" minutes"</f>
        <v>240 minutes</v>
      </c>
      <c r="I190" t="s">
        <v>623</v>
      </c>
      <c r="J190" t="str">
        <f>IF(Investments!$C$7&lt;6,"Dark as a cloudy night.",IF(Investments!$C$7&lt;11,"Dark as a moonless, cloudy night","Dark as a sealed room."))&amp;" Volume is "&amp;500+500*Investments!$C$7&amp;" cubic feet."</f>
        <v>Dark as a sealed room. Volume is 8000 cubic feet.</v>
      </c>
    </row>
    <row r="191" spans="1:10" ht="12.75">
      <c r="A191" s="99" t="s">
        <v>291</v>
      </c>
      <c r="B191" s="99" t="s">
        <v>66</v>
      </c>
      <c r="C191" s="99" t="s">
        <v>295</v>
      </c>
      <c r="D191">
        <v>100</v>
      </c>
      <c r="E191">
        <v>50</v>
      </c>
      <c r="F191">
        <f>E191+3*Investments!$C$7+Investments!$C$16+Investments!$C$17</f>
        <v>118</v>
      </c>
      <c r="G191" t="str">
        <f>15+15*Investments!$C$7&amp;" feet"</f>
        <v>240 feet</v>
      </c>
      <c r="H191" t="s">
        <v>629</v>
      </c>
      <c r="I191" t="s">
        <v>623</v>
      </c>
      <c r="J191" t="str">
        <f>"Spoils enough food to feed "&amp;1+Investments!$C$7&amp;" people."</f>
        <v>Spoils enough food to feed 16 people.</v>
      </c>
    </row>
    <row r="192" spans="1:10" ht="12.75">
      <c r="A192" s="99" t="s">
        <v>291</v>
      </c>
      <c r="B192" s="99" t="s">
        <v>67</v>
      </c>
      <c r="C192" s="99" t="s">
        <v>296</v>
      </c>
      <c r="D192">
        <v>200</v>
      </c>
      <c r="E192">
        <v>30</v>
      </c>
      <c r="F192">
        <f>E192+3*Investments!$C$7+Investments!$C$16+Investments!$C$17</f>
        <v>98</v>
      </c>
      <c r="G192" t="str">
        <f>15+15*Investments!$C$7&amp;" feet"</f>
        <v>240 feet</v>
      </c>
      <c r="H192" t="str">
        <f>10+10*Investments!$C$7&amp;" minutes"</f>
        <v>160 minutes</v>
      </c>
      <c r="I192" t="s">
        <v>623</v>
      </c>
      <c r="J192" t="str">
        <f>"Create a "&amp;5+Investments!$C$7&amp;" foot cube of smoke."</f>
        <v>Create a 20 foot cube of smoke.</v>
      </c>
    </row>
    <row r="193" spans="1:9" ht="12.75">
      <c r="A193" s="99" t="s">
        <v>291</v>
      </c>
      <c r="B193" s="99" t="s">
        <v>68</v>
      </c>
      <c r="C193" s="99" t="s">
        <v>297</v>
      </c>
      <c r="D193">
        <v>250</v>
      </c>
      <c r="E193">
        <v>20</v>
      </c>
      <c r="F193">
        <f>E193+3*Investments!$C$7+Investments!$C$16+Investments!$C$17</f>
        <v>88</v>
      </c>
      <c r="G193" t="str">
        <f>15+15*Investments!$C$7&amp;" feet"</f>
        <v>240 feet</v>
      </c>
      <c r="H193" t="s">
        <v>629</v>
      </c>
      <c r="I193" t="str">
        <f>"[D-4] + "&amp;Investments!$C$7</f>
        <v>[D-4] + 15</v>
      </c>
    </row>
    <row r="194" spans="1:9" ht="12.75">
      <c r="A194" s="99" t="s">
        <v>291</v>
      </c>
      <c r="B194" s="99" t="s">
        <v>69</v>
      </c>
      <c r="C194" s="99" t="s">
        <v>298</v>
      </c>
      <c r="D194">
        <v>250</v>
      </c>
      <c r="E194">
        <v>20</v>
      </c>
      <c r="F194">
        <f>E194+3*Investments!$C$7+Investments!$C$16+Investments!$C$17</f>
        <v>88</v>
      </c>
      <c r="G194" t="str">
        <f>15+15*Investments!$C$7&amp;" feet"</f>
        <v>240 feet</v>
      </c>
      <c r="H194" t="str">
        <f>20+10*Investments!$C$7&amp;" seconds"</f>
        <v>170 seconds</v>
      </c>
      <c r="I194" t="s">
        <v>623</v>
      </c>
    </row>
    <row r="195" spans="1:9" ht="12.75">
      <c r="A195" s="99" t="s">
        <v>291</v>
      </c>
      <c r="B195" s="99" t="s">
        <v>70</v>
      </c>
      <c r="C195" s="99" t="s">
        <v>299</v>
      </c>
      <c r="D195">
        <v>200</v>
      </c>
      <c r="E195">
        <v>20</v>
      </c>
      <c r="F195">
        <f>E195+3*Investments!$C$7+Investments!$C$16+Investments!$C$17</f>
        <v>88</v>
      </c>
      <c r="G195" t="str">
        <f>15+15*Investments!$C$7&amp;" feet"</f>
        <v>240 feet</v>
      </c>
      <c r="H195" t="str">
        <f>10+10*Investments!$C$7&amp;" seconds"</f>
        <v>160 seconds</v>
      </c>
      <c r="I195" t="s">
        <v>623</v>
      </c>
    </row>
    <row r="196" spans="1:10" ht="12.75">
      <c r="A196" s="99" t="s">
        <v>291</v>
      </c>
      <c r="B196" s="99" t="s">
        <v>71</v>
      </c>
      <c r="C196" s="99" t="s">
        <v>300</v>
      </c>
      <c r="D196">
        <v>250</v>
      </c>
      <c r="E196">
        <v>10</v>
      </c>
      <c r="F196">
        <f>E196+3*Investments!$C$7+Investments!$C$16+Investments!$C$17</f>
        <v>78</v>
      </c>
      <c r="G196" t="str">
        <f>15+15*Investments!$C$7&amp;" feet"</f>
        <v>240 feet</v>
      </c>
      <c r="H196" t="str">
        <f>"[D-5] * "&amp;10*Investments!$C$7&amp;" seconds"</f>
        <v>[D-5] * 150 seconds</v>
      </c>
      <c r="I196" t="s">
        <v>623</v>
      </c>
      <c r="J196" t="str">
        <f>IF(Investments!$C$7&lt;6,"Range of vision reduced by 10'.",IF(Investments!$C$7&lt;11,"Causes a light sleep.","20% chance to catch consumption."))&amp;""</f>
        <v>20% chance to catch consumption.</v>
      </c>
    </row>
    <row r="197" spans="1:10" ht="12.75">
      <c r="A197" s="99" t="s">
        <v>291</v>
      </c>
      <c r="B197" s="99" t="s">
        <v>72</v>
      </c>
      <c r="C197" s="99" t="s">
        <v>301</v>
      </c>
      <c r="D197">
        <v>200</v>
      </c>
      <c r="E197">
        <v>30</v>
      </c>
      <c r="F197">
        <f>E197+3*Investments!$C$7+Investments!$C$16+Investments!$C$17</f>
        <v>98</v>
      </c>
      <c r="G197" t="str">
        <f>15+15*Investments!$C$7&amp;" feet"</f>
        <v>240 feet</v>
      </c>
      <c r="H197" t="s">
        <v>629</v>
      </c>
      <c r="I197" t="s">
        <v>623</v>
      </c>
      <c r="J197" t="str">
        <f>"Warp a 2in. x 2in. x1' + "&amp;Investments!$C$7&amp;"in. to any one dimension."</f>
        <v>Warp a 2in. x 2in. x1' + 15in. to any one dimension.</v>
      </c>
    </row>
    <row r="198" spans="1:39" ht="12.75">
      <c r="A198" s="99" t="s">
        <v>291</v>
      </c>
      <c r="B198" s="99" t="s">
        <v>73</v>
      </c>
      <c r="C198" s="99" t="s">
        <v>302</v>
      </c>
      <c r="D198">
        <v>200</v>
      </c>
      <c r="E198">
        <v>25</v>
      </c>
      <c r="F198">
        <f>E198+3*Investments!$C$7+Investments!$C$16+Investments!$C$17</f>
        <v>93</v>
      </c>
      <c r="G198" t="str">
        <f>5+5*Investments!$C$7&amp;" feet"</f>
        <v>80 feet</v>
      </c>
      <c r="H198" t="s">
        <v>677</v>
      </c>
      <c r="I198" t="s">
        <v>678</v>
      </c>
      <c r="J198" t="s">
        <v>679</v>
      </c>
      <c r="AM198" s="153" t="s">
        <v>846</v>
      </c>
    </row>
    <row r="199" spans="1:40" ht="12.75">
      <c r="A199" s="99" t="s">
        <v>291</v>
      </c>
      <c r="B199" s="99" t="s">
        <v>90</v>
      </c>
      <c r="C199" s="99" t="s">
        <v>303</v>
      </c>
      <c r="D199">
        <v>150</v>
      </c>
      <c r="E199">
        <v>30</v>
      </c>
      <c r="F199">
        <f>E199+3*Investments!$C$7+Investments!$C$16+Investments!$C$17</f>
        <v>98</v>
      </c>
      <c r="G199" t="s">
        <v>634</v>
      </c>
      <c r="H199" t="str">
        <f>30+15*Investments!$C$7&amp;" seconds"</f>
        <v>255 seconds</v>
      </c>
      <c r="I199" t="s">
        <v>623</v>
      </c>
      <c r="AM199" s="99" t="s">
        <v>795</v>
      </c>
      <c r="AN199" s="99">
        <f>2/(12*4)</f>
        <v>0.041666666666666664</v>
      </c>
    </row>
    <row r="200" spans="1:40" ht="12.75">
      <c r="A200" s="99" t="s">
        <v>291</v>
      </c>
      <c r="B200" s="99" t="s">
        <v>74</v>
      </c>
      <c r="C200" s="99" t="s">
        <v>304</v>
      </c>
      <c r="D200">
        <v>200</v>
      </c>
      <c r="E200">
        <v>35</v>
      </c>
      <c r="F200">
        <f>E200+3*Investments!$C$7+Investments!$C$16+Investments!$C$17</f>
        <v>103</v>
      </c>
      <c r="G200" t="str">
        <f>15+5*Investments!$C$7&amp;" feet"</f>
        <v>90 feet</v>
      </c>
      <c r="H200" t="s">
        <v>629</v>
      </c>
      <c r="I200" t="str">
        <f>"[D-4] + "&amp;Investments!$C$7</f>
        <v>[D-4] + 15</v>
      </c>
      <c r="AM200" s="99" t="s">
        <v>812</v>
      </c>
      <c r="AN200" s="99">
        <f>3/48</f>
        <v>0.0625</v>
      </c>
    </row>
    <row r="201" spans="1:40" ht="12.75">
      <c r="A201" s="99" t="s">
        <v>291</v>
      </c>
      <c r="B201" s="99" t="s">
        <v>75</v>
      </c>
      <c r="C201" s="99" t="s">
        <v>305</v>
      </c>
      <c r="D201">
        <v>250</v>
      </c>
      <c r="E201">
        <v>30</v>
      </c>
      <c r="F201">
        <f>E201+3*Investments!$C$7+Investments!$C$16+Investments!$C$17</f>
        <v>98</v>
      </c>
      <c r="G201" t="str">
        <f>15+15*Investments!$C$7&amp;" feet"</f>
        <v>240 feet</v>
      </c>
      <c r="H201" t="str">
        <f>15+1*Investments!$C$7&amp;" minutes Max (Concentration)"</f>
        <v>30 minutes Max (Concentration)</v>
      </c>
      <c r="I201" t="str">
        <f>"[D-5] + "&amp;Investments!$C$7</f>
        <v>[D-5] + 15</v>
      </c>
      <c r="AM201" s="99" t="s">
        <v>776</v>
      </c>
      <c r="AN201" s="99">
        <v>0.5</v>
      </c>
    </row>
    <row r="202" spans="1:40" ht="12.75">
      <c r="A202" s="99" t="s">
        <v>291</v>
      </c>
      <c r="B202" s="99" t="s">
        <v>76</v>
      </c>
      <c r="C202" s="99" t="s">
        <v>306</v>
      </c>
      <c r="D202">
        <v>150</v>
      </c>
      <c r="E202">
        <v>30</v>
      </c>
      <c r="F202">
        <f>E202+3*Investments!$C$7+Investments!$C$16+Investments!$C$17</f>
        <v>98</v>
      </c>
      <c r="G202" t="str">
        <f>15+15*Investments!$C$7&amp;" feet"</f>
        <v>240 feet</v>
      </c>
      <c r="H202" t="str">
        <f>30+30*Investments!$C$7&amp;" minutes"</f>
        <v>480 minutes</v>
      </c>
      <c r="I202" t="s">
        <v>623</v>
      </c>
      <c r="J202" t="s">
        <v>680</v>
      </c>
      <c r="AM202" s="99" t="s">
        <v>562</v>
      </c>
      <c r="AN202" s="99">
        <v>0.5</v>
      </c>
    </row>
    <row r="203" spans="1:40" ht="12.75">
      <c r="A203" s="99" t="s">
        <v>291</v>
      </c>
      <c r="B203" s="99" t="s">
        <v>77</v>
      </c>
      <c r="C203" s="99" t="s">
        <v>307</v>
      </c>
      <c r="D203">
        <v>350</v>
      </c>
      <c r="E203">
        <v>20</v>
      </c>
      <c r="F203">
        <f>E203+3*Investments!$C$7+Investments!$C$16+Investments!$C$17</f>
        <v>88</v>
      </c>
      <c r="G203" t="str">
        <f>15+15*Investments!$C$7&amp;" feet"</f>
        <v>240 feet</v>
      </c>
      <c r="H203" t="str">
        <f>15+15*Investments!$C$7&amp;" minutes Max (Concentration)"</f>
        <v>240 minutes Max (Concentration)</v>
      </c>
      <c r="I203" t="s">
        <v>623</v>
      </c>
      <c r="J203" t="s">
        <v>680</v>
      </c>
      <c r="AM203" s="99" t="s">
        <v>792</v>
      </c>
      <c r="AN203" s="99">
        <v>1</v>
      </c>
    </row>
    <row r="204" spans="1:40" ht="12.75">
      <c r="A204" s="99" t="s">
        <v>291</v>
      </c>
      <c r="B204" s="99" t="s">
        <v>78</v>
      </c>
      <c r="C204" s="99" t="s">
        <v>308</v>
      </c>
      <c r="D204">
        <v>400</v>
      </c>
      <c r="E204">
        <v>10</v>
      </c>
      <c r="F204">
        <f>E204+3*Investments!$C$7+Investments!$C$16+Investments!$C$17</f>
        <v>78</v>
      </c>
      <c r="G204" t="str">
        <f>30+15*Investments!$C$7&amp;" feet"</f>
        <v>255 feet</v>
      </c>
      <c r="H204" t="str">
        <f>30+10*Investments!$C$7&amp;" seconds"</f>
        <v>180 seconds</v>
      </c>
      <c r="I204" t="s">
        <v>623</v>
      </c>
      <c r="J204" t="s">
        <v>681</v>
      </c>
      <c r="AM204" s="99" t="s">
        <v>796</v>
      </c>
      <c r="AN204" s="99">
        <v>1</v>
      </c>
    </row>
    <row r="205" spans="1:40" ht="12.75">
      <c r="A205" s="99" t="s">
        <v>291</v>
      </c>
      <c r="B205" s="99" t="s">
        <v>79</v>
      </c>
      <c r="C205" s="99" t="s">
        <v>309</v>
      </c>
      <c r="D205">
        <v>300</v>
      </c>
      <c r="E205">
        <v>20</v>
      </c>
      <c r="F205">
        <f>E205+3*Investments!$C$7+Investments!$C$16+Investments!$C$17</f>
        <v>88</v>
      </c>
      <c r="G205" t="str">
        <f>15+15*Investments!$C$7&amp;" feet"</f>
        <v>240 feet</v>
      </c>
      <c r="H205" t="str">
        <f>1+1*Investments!$C$7&amp;" years"</f>
        <v>16 years</v>
      </c>
      <c r="I205" t="s">
        <v>623</v>
      </c>
      <c r="J205" t="str">
        <f>25+25*Investments!$C$7&amp;" square feet of ground."</f>
        <v>400 square feet of ground.</v>
      </c>
      <c r="AM205" s="99" t="s">
        <v>797</v>
      </c>
      <c r="AN205" s="99">
        <v>1</v>
      </c>
    </row>
    <row r="206" spans="1:40" ht="12.75">
      <c r="A206" s="99" t="s">
        <v>291</v>
      </c>
      <c r="B206" s="99" t="s">
        <v>80</v>
      </c>
      <c r="C206" s="99" t="s">
        <v>310</v>
      </c>
      <c r="D206">
        <v>300</v>
      </c>
      <c r="E206">
        <v>20</v>
      </c>
      <c r="F206">
        <f>E206+3*Investments!$C$7+Investments!$C$16+Investments!$C$17</f>
        <v>88</v>
      </c>
      <c r="G206" t="str">
        <f>30+15*Investments!$C$7&amp;" feet"</f>
        <v>255 feet</v>
      </c>
      <c r="H206" t="str">
        <f>180+30*Investments!$C$7&amp;" minutes"</f>
        <v>630 minutes</v>
      </c>
      <c r="I206" t="s">
        <v>623</v>
      </c>
      <c r="J206" t="str">
        <f>"Adept animates "&amp;3+1*Investments!$C$7&amp;" corpses within range."</f>
        <v>Adept animates 18 corpses within range.</v>
      </c>
      <c r="AM206" s="99" t="s">
        <v>775</v>
      </c>
      <c r="AN206" s="99">
        <v>1</v>
      </c>
    </row>
    <row r="207" spans="1:40" ht="12.75">
      <c r="A207" s="99" t="s">
        <v>291</v>
      </c>
      <c r="B207" s="99" t="s">
        <v>81</v>
      </c>
      <c r="C207" s="99" t="s">
        <v>311</v>
      </c>
      <c r="D207">
        <v>200</v>
      </c>
      <c r="E207">
        <v>15</v>
      </c>
      <c r="F207">
        <f>E207+3*Investments!$C$7+Investments!$C$16+Investments!$C$17</f>
        <v>83</v>
      </c>
      <c r="G207" t="str">
        <f>15+1*Investments!$C$7&amp;" feet"</f>
        <v>30 feet</v>
      </c>
      <c r="H207" t="str">
        <f>30+30*Investments!$C$7&amp;" minutes"</f>
        <v>480 minutes</v>
      </c>
      <c r="I207" t="s">
        <v>623</v>
      </c>
      <c r="J207" t="str">
        <f>"Chance of striking the target is reduced by "&amp;1+1*Investments!$C$7&amp;"%. Target's stealth is improved by 10%."</f>
        <v>Chance of striking the target is reduced by 16%. Target's stealth is improved by 10%.</v>
      </c>
      <c r="AM207" s="99" t="s">
        <v>806</v>
      </c>
      <c r="AN207" s="99">
        <v>1</v>
      </c>
    </row>
    <row r="208" spans="1:40" ht="12.75">
      <c r="A208" s="99" t="s">
        <v>291</v>
      </c>
      <c r="B208" s="99" t="s">
        <v>82</v>
      </c>
      <c r="C208" s="99" t="s">
        <v>312</v>
      </c>
      <c r="D208">
        <v>250</v>
      </c>
      <c r="E208">
        <v>15</v>
      </c>
      <c r="F208">
        <f>E208+3*Investments!$C$7+Investments!$C$16+Investments!$C$17</f>
        <v>83</v>
      </c>
      <c r="G208" t="str">
        <f>5+5*Investments!$C$7&amp;" feet"</f>
        <v>80 feet</v>
      </c>
      <c r="H208" t="str">
        <f>"[D - 5] * "&amp;20*Investments!$C$7&amp;" seconds"</f>
        <v>[D - 5] * 300 seconds</v>
      </c>
      <c r="I208" t="str">
        <f>" + "&amp;1+ROUNDUP(Investments!$C$7/3,0)</f>
        <v> + 6</v>
      </c>
      <c r="J208" t="str">
        <f>"Strike Chance increased by "&amp;1+Investments!$C$7&amp;"%. "</f>
        <v>Strike Chance increased by 16%. </v>
      </c>
      <c r="AM208" s="99" t="s">
        <v>798</v>
      </c>
      <c r="AN208" s="99">
        <v>2</v>
      </c>
    </row>
    <row r="209" spans="1:40" ht="12.75">
      <c r="A209" s="99" t="s">
        <v>291</v>
      </c>
      <c r="B209" s="99" t="s">
        <v>83</v>
      </c>
      <c r="C209" s="99" t="s">
        <v>313</v>
      </c>
      <c r="D209">
        <v>500</v>
      </c>
      <c r="E209">
        <v>5</v>
      </c>
      <c r="F209">
        <f>E209+3*Investments!$C$7+Investments!$C$16+Investments!$C$17</f>
        <v>73</v>
      </c>
      <c r="G209" t="str">
        <f>15+15*Investments!$C$7&amp;" feet"</f>
        <v>240 feet</v>
      </c>
      <c r="H209" t="s">
        <v>629</v>
      </c>
      <c r="I209" t="s">
        <v>682</v>
      </c>
      <c r="J209" t="s">
        <v>683</v>
      </c>
      <c r="AM209" s="99" t="s">
        <v>774</v>
      </c>
      <c r="AN209" s="99">
        <v>2</v>
      </c>
    </row>
    <row r="210" spans="1:40" ht="12.75">
      <c r="A210" s="99" t="s">
        <v>291</v>
      </c>
      <c r="B210" s="99" t="s">
        <v>84</v>
      </c>
      <c r="C210" s="99" t="s">
        <v>314</v>
      </c>
      <c r="D210">
        <v>375</v>
      </c>
      <c r="E210">
        <v>10</v>
      </c>
      <c r="F210">
        <f>E210+3*Investments!$C$7+Investments!$C$16+Investments!$C$17</f>
        <v>78</v>
      </c>
      <c r="G210" t="str">
        <f>10+10*Investments!$C$7&amp;" feet"</f>
        <v>160 feet</v>
      </c>
      <c r="H210" t="s">
        <v>629</v>
      </c>
      <c r="I210" t="str">
        <f>"D + "&amp;1+2*Investments!$C$7</f>
        <v>D + 31</v>
      </c>
      <c r="J210" s="140" t="s">
        <v>663</v>
      </c>
      <c r="AM210" s="99" t="s">
        <v>778</v>
      </c>
      <c r="AN210" s="99">
        <v>2</v>
      </c>
    </row>
    <row r="211" spans="1:40" ht="12.75">
      <c r="A211" s="99" t="s">
        <v>291</v>
      </c>
      <c r="B211" s="99" t="s">
        <v>85</v>
      </c>
      <c r="C211" s="99" t="s">
        <v>315</v>
      </c>
      <c r="D211">
        <v>400</v>
      </c>
      <c r="E211">
        <v>15</v>
      </c>
      <c r="F211">
        <f>E211+3*Investments!$C$7+Investments!$C$16+Investments!$C$17</f>
        <v>83</v>
      </c>
      <c r="G211" t="s">
        <v>638</v>
      </c>
      <c r="H211" t="s">
        <v>629</v>
      </c>
      <c r="I211" t="str">
        <f>"+ "&amp;1+Investments!$C$7</f>
        <v>+ 16</v>
      </c>
      <c r="J211" t="s">
        <v>684</v>
      </c>
      <c r="AM211" s="99" t="s">
        <v>780</v>
      </c>
      <c r="AN211" s="99">
        <v>2</v>
      </c>
    </row>
    <row r="212" spans="1:40" ht="12.75">
      <c r="A212" s="99" t="s">
        <v>291</v>
      </c>
      <c r="B212" s="99" t="s">
        <v>86</v>
      </c>
      <c r="C212" s="99" t="s">
        <v>316</v>
      </c>
      <c r="D212">
        <v>350</v>
      </c>
      <c r="E212">
        <v>10</v>
      </c>
      <c r="F212">
        <f>E212+3*Investments!$C$7+Investments!$C$16+Investments!$C$17</f>
        <v>78</v>
      </c>
      <c r="G212" t="str">
        <f>30+15*Investments!$C$7&amp;" feet"</f>
        <v>255 feet</v>
      </c>
      <c r="H212" t="str">
        <f>10+10*Investments!$C$7&amp;" seconds"</f>
        <v>160 seconds</v>
      </c>
      <c r="I212" t="s">
        <v>623</v>
      </c>
      <c r="AM212" s="99" t="s">
        <v>772</v>
      </c>
      <c r="AN212" s="99">
        <v>2</v>
      </c>
    </row>
    <row r="213" spans="1:40" ht="12.75">
      <c r="A213" s="99" t="s">
        <v>291</v>
      </c>
      <c r="B213" s="99" t="s">
        <v>98</v>
      </c>
      <c r="C213" s="99" t="s">
        <v>317</v>
      </c>
      <c r="D213">
        <v>400</v>
      </c>
      <c r="E213">
        <v>5</v>
      </c>
      <c r="F213">
        <f>E213+3*Investments!$C$7+Investments!$C$16+Investments!$C$17</f>
        <v>73</v>
      </c>
      <c r="G213" t="s">
        <v>635</v>
      </c>
      <c r="H213" t="s">
        <v>626</v>
      </c>
      <c r="I213" t="s">
        <v>623</v>
      </c>
      <c r="J213" t="str">
        <f>20+5*ROUNDDOWN(Investments!$C$7/3,0)&amp;" combined EN/FT.  Does [D-4] + "&amp;Investments!$C$7&amp;" damage per pulse."</f>
        <v>45 combined EN/FT.  Does [D-4] + 15 damage per pulse.</v>
      </c>
      <c r="AM213" s="99" t="s">
        <v>782</v>
      </c>
      <c r="AN213" s="99">
        <v>2</v>
      </c>
    </row>
    <row r="214" spans="1:40" ht="12.75">
      <c r="A214" s="99" t="s">
        <v>293</v>
      </c>
      <c r="B214" s="99" t="s">
        <v>64</v>
      </c>
      <c r="C214" s="99" t="s">
        <v>318</v>
      </c>
      <c r="D214">
        <v>200</v>
      </c>
      <c r="F214" s="138" t="str">
        <f>"PC + "&amp;5*Investments!$C$7+Investments!$C$16+Investments!$C$17</f>
        <v>PC + 98</v>
      </c>
      <c r="G214" t="s">
        <v>622</v>
      </c>
      <c r="H214" t="s">
        <v>623</v>
      </c>
      <c r="I214" t="s">
        <v>623</v>
      </c>
      <c r="AM214" s="99" t="s">
        <v>790</v>
      </c>
      <c r="AN214" s="99">
        <v>3</v>
      </c>
    </row>
    <row r="215" spans="1:40" ht="12.75">
      <c r="A215" s="99" t="s">
        <v>293</v>
      </c>
      <c r="B215" s="99" t="s">
        <v>88</v>
      </c>
      <c r="C215" s="99" t="s">
        <v>319</v>
      </c>
      <c r="D215">
        <v>150</v>
      </c>
      <c r="F215" t="s">
        <v>633</v>
      </c>
      <c r="G215" t="str">
        <f>15+15*Investments!$C$7&amp;" feet"</f>
        <v>240 feet</v>
      </c>
      <c r="H215" t="s">
        <v>626</v>
      </c>
      <c r="I215" t="s">
        <v>623</v>
      </c>
      <c r="J215" t="str">
        <f>"Takes "&amp;10-Investments!$C$7&amp;" seconds to become invisible."</f>
        <v>Takes -5 seconds to become invisible.</v>
      </c>
      <c r="AM215" s="99" t="s">
        <v>783</v>
      </c>
      <c r="AN215" s="99">
        <v>3</v>
      </c>
    </row>
    <row r="216" spans="1:40" ht="12.75">
      <c r="A216" s="99" t="s">
        <v>293</v>
      </c>
      <c r="B216" s="99" t="s">
        <v>89</v>
      </c>
      <c r="C216" s="99" t="s">
        <v>320</v>
      </c>
      <c r="D216">
        <v>200</v>
      </c>
      <c r="F216">
        <f>E216+3*Investments!$C$7+Investments!$C$16+Investments!$C$17</f>
        <v>68</v>
      </c>
      <c r="AM216" s="99" t="s">
        <v>773</v>
      </c>
      <c r="AN216" s="99">
        <v>3</v>
      </c>
    </row>
    <row r="217" spans="1:40" ht="12.75">
      <c r="A217" s="99" t="s">
        <v>293</v>
      </c>
      <c r="B217" s="99" t="s">
        <v>65</v>
      </c>
      <c r="C217" s="99" t="s">
        <v>321</v>
      </c>
      <c r="D217">
        <v>350</v>
      </c>
      <c r="E217">
        <v>20</v>
      </c>
      <c r="F217">
        <f>E217+3*Investments!$C$7+Investments!$C$16+Investments!$C$17</f>
        <v>88</v>
      </c>
      <c r="G217" t="str">
        <f>15+15*Investments!$C$7&amp;" feet"</f>
        <v>240 feet</v>
      </c>
      <c r="H217" t="s">
        <v>629</v>
      </c>
      <c r="I217" t="s">
        <v>623</v>
      </c>
      <c r="J217" t="s">
        <v>676</v>
      </c>
      <c r="AM217" s="99" t="s">
        <v>777</v>
      </c>
      <c r="AN217" s="99">
        <v>3</v>
      </c>
    </row>
    <row r="218" spans="1:40" ht="12.75">
      <c r="A218" s="99" t="s">
        <v>293</v>
      </c>
      <c r="B218" s="99" t="s">
        <v>66</v>
      </c>
      <c r="C218" s="99" t="s">
        <v>322</v>
      </c>
      <c r="D218">
        <v>100</v>
      </c>
      <c r="E218">
        <v>60</v>
      </c>
      <c r="F218">
        <f>E218+3*Investments!$C$7+Investments!$C$16+Investments!$C$17</f>
        <v>128</v>
      </c>
      <c r="G218" t="str">
        <f>15+15*Investments!$C$7&amp;" feet"</f>
        <v>240 feet</v>
      </c>
      <c r="H218" t="str">
        <f>"[D - 5] + "&amp;15*Investments!$C$7&amp;" minutes"</f>
        <v>[D - 5] + 225 minutes</v>
      </c>
      <c r="I218" t="s">
        <v>623</v>
      </c>
      <c r="AM218" s="99" t="s">
        <v>779</v>
      </c>
      <c r="AN218" s="99">
        <v>3</v>
      </c>
    </row>
    <row r="219" spans="1:40" ht="12.75">
      <c r="A219" s="99" t="s">
        <v>293</v>
      </c>
      <c r="B219" s="99" t="s">
        <v>67</v>
      </c>
      <c r="C219" s="99" t="s">
        <v>323</v>
      </c>
      <c r="D219">
        <v>100</v>
      </c>
      <c r="E219">
        <v>60</v>
      </c>
      <c r="F219">
        <f>E219+3*Investments!$C$7+Investments!$C$16+Investments!$C$17</f>
        <v>128</v>
      </c>
      <c r="G219" t="str">
        <f>1+Investments!$C$7&amp;" feet"</f>
        <v>16 feet</v>
      </c>
      <c r="H219" t="str">
        <f>1+Investments!$C$7&amp;" hours"</f>
        <v>16 hours</v>
      </c>
      <c r="I219" t="s">
        <v>623</v>
      </c>
      <c r="AM219" s="99" t="s">
        <v>793</v>
      </c>
      <c r="AN219" s="99">
        <v>3</v>
      </c>
    </row>
    <row r="220" spans="1:40" ht="12.75">
      <c r="A220" s="99" t="s">
        <v>293</v>
      </c>
      <c r="B220" s="99" t="s">
        <v>68</v>
      </c>
      <c r="C220" s="99" t="s">
        <v>324</v>
      </c>
      <c r="D220">
        <v>500</v>
      </c>
      <c r="E220">
        <v>50</v>
      </c>
      <c r="F220">
        <f>E220+3*Investments!$C$7+Investments!$C$16+Investments!$C$17</f>
        <v>118</v>
      </c>
      <c r="G220" t="str">
        <f>15+15*Investments!$C$7&amp;" feet"</f>
        <v>240 feet</v>
      </c>
      <c r="H220" t="s">
        <v>667</v>
      </c>
      <c r="I220" t="s">
        <v>623</v>
      </c>
      <c r="AM220" s="99" t="s">
        <v>811</v>
      </c>
      <c r="AN220" s="99">
        <v>4</v>
      </c>
    </row>
    <row r="221" spans="1:40" ht="12.75">
      <c r="A221" s="99" t="s">
        <v>293</v>
      </c>
      <c r="B221" s="99" t="s">
        <v>69</v>
      </c>
      <c r="C221" s="99" t="s">
        <v>325</v>
      </c>
      <c r="D221">
        <v>200</v>
      </c>
      <c r="E221">
        <v>40</v>
      </c>
      <c r="F221">
        <f>E221+3*Investments!$C$7+Investments!$C$16+Investments!$C$17</f>
        <v>108</v>
      </c>
      <c r="G221" t="s">
        <v>635</v>
      </c>
      <c r="H221" t="s">
        <v>685</v>
      </c>
      <c r="I221" t="s">
        <v>623</v>
      </c>
      <c r="J221" t="str">
        <f>"Storm will arrive within 3*D10 - "&amp;Investments!$C$7&amp;" minutes."</f>
        <v>Storm will arrive within 3*D10 - 15 minutes.</v>
      </c>
      <c r="AM221" s="99" t="s">
        <v>802</v>
      </c>
      <c r="AN221" s="99">
        <v>4</v>
      </c>
    </row>
    <row r="222" spans="1:40" ht="12.75">
      <c r="A222" s="99" t="s">
        <v>293</v>
      </c>
      <c r="B222" s="99" t="s">
        <v>70</v>
      </c>
      <c r="C222" s="99" t="s">
        <v>326</v>
      </c>
      <c r="D222">
        <v>100</v>
      </c>
      <c r="E222">
        <v>40</v>
      </c>
      <c r="F222">
        <f>E222+3*Investments!$C$7+Investments!$C$16+Investments!$C$17</f>
        <v>108</v>
      </c>
      <c r="G222" t="s">
        <v>635</v>
      </c>
      <c r="H222" t="s">
        <v>644</v>
      </c>
      <c r="I222" t="s">
        <v>623</v>
      </c>
      <c r="AM222" s="99" t="s">
        <v>791</v>
      </c>
      <c r="AN222" s="99">
        <v>4</v>
      </c>
    </row>
    <row r="223" spans="1:40" ht="12.75">
      <c r="A223" s="99" t="s">
        <v>293</v>
      </c>
      <c r="B223" s="99" t="s">
        <v>71</v>
      </c>
      <c r="C223" s="99" t="s">
        <v>327</v>
      </c>
      <c r="D223">
        <v>300</v>
      </c>
      <c r="E223">
        <v>20</v>
      </c>
      <c r="F223">
        <f>E223+3*Investments!$C$7+Investments!$C$16+Investments!$C$17</f>
        <v>88</v>
      </c>
      <c r="G223" t="s">
        <v>652</v>
      </c>
      <c r="H223" t="str">
        <f>30+10*Investments!$C$7&amp;" minutes"</f>
        <v>180 minutes</v>
      </c>
      <c r="I223" t="s">
        <v>623</v>
      </c>
      <c r="AM223" s="99" t="s">
        <v>851</v>
      </c>
      <c r="AN223" s="99">
        <v>5</v>
      </c>
    </row>
    <row r="224" spans="1:40" ht="12.75">
      <c r="A224" s="99" t="s">
        <v>293</v>
      </c>
      <c r="B224" s="99" t="s">
        <v>72</v>
      </c>
      <c r="C224" s="99" t="s">
        <v>328</v>
      </c>
      <c r="D224">
        <v>200</v>
      </c>
      <c r="E224">
        <v>20</v>
      </c>
      <c r="F224">
        <f>E224+3*Investments!$C$7+Investments!$C$16+Investments!$C$17</f>
        <v>88</v>
      </c>
      <c r="G224" t="s">
        <v>635</v>
      </c>
      <c r="H224" t="s">
        <v>629</v>
      </c>
      <c r="I224" t="s">
        <v>623</v>
      </c>
      <c r="AM224" s="99" t="s">
        <v>800</v>
      </c>
      <c r="AN224" s="99">
        <v>5</v>
      </c>
    </row>
    <row r="225" spans="1:40" ht="12.75">
      <c r="A225" s="99" t="s">
        <v>293</v>
      </c>
      <c r="B225" s="99" t="s">
        <v>73</v>
      </c>
      <c r="C225" s="99" t="s">
        <v>329</v>
      </c>
      <c r="D225">
        <v>100</v>
      </c>
      <c r="E225">
        <v>50</v>
      </c>
      <c r="F225">
        <f>E225+3*Investments!$C$7+Investments!$C$16+Investments!$C$17</f>
        <v>118</v>
      </c>
      <c r="G225" t="str">
        <f>15+15*Investments!$C$7&amp;" feet"</f>
        <v>240 feet</v>
      </c>
      <c r="H225" t="s">
        <v>629</v>
      </c>
      <c r="I225" t="s">
        <v>623</v>
      </c>
      <c r="J225" t="str">
        <f>"Spoils enough food to feed "&amp;1+Investments!$C$7&amp;" people."</f>
        <v>Spoils enough food to feed 16 people.</v>
      </c>
      <c r="AM225" s="99" t="s">
        <v>905</v>
      </c>
      <c r="AN225" s="99">
        <v>6</v>
      </c>
    </row>
    <row r="226" spans="1:40" ht="12.75">
      <c r="A226" s="99" t="s">
        <v>293</v>
      </c>
      <c r="B226" s="99" t="s">
        <v>90</v>
      </c>
      <c r="C226" s="99" t="s">
        <v>330</v>
      </c>
      <c r="D226">
        <v>200</v>
      </c>
      <c r="E226">
        <v>20</v>
      </c>
      <c r="F226">
        <f>E226+3*Investments!$C$7+Investments!$C$16+Investments!$C$17</f>
        <v>88</v>
      </c>
      <c r="G226" t="str">
        <f>15+15*Investments!$C$7&amp;" feet"</f>
        <v>240 feet</v>
      </c>
      <c r="H226" t="s">
        <v>629</v>
      </c>
      <c r="I226" t="s">
        <v>623</v>
      </c>
      <c r="AM226" s="99" t="s">
        <v>781</v>
      </c>
      <c r="AN226" s="99">
        <v>6</v>
      </c>
    </row>
    <row r="227" spans="1:40" ht="12.75">
      <c r="A227" s="99" t="s">
        <v>293</v>
      </c>
      <c r="B227" s="99" t="s">
        <v>94</v>
      </c>
      <c r="C227" s="99" t="s">
        <v>331</v>
      </c>
      <c r="D227">
        <v>200</v>
      </c>
      <c r="E227">
        <v>20</v>
      </c>
      <c r="F227">
        <f>E227+3*Investments!$C$7+Investments!$C$16+Investments!$C$17</f>
        <v>88</v>
      </c>
      <c r="G227" t="str">
        <f>15+15*Investments!$C$7&amp;" feet"</f>
        <v>240 feet</v>
      </c>
      <c r="H227" t="s">
        <v>629</v>
      </c>
      <c r="I227" t="s">
        <v>623</v>
      </c>
      <c r="AM227" s="99" t="s">
        <v>799</v>
      </c>
      <c r="AN227" s="99">
        <v>8</v>
      </c>
    </row>
    <row r="228" spans="1:40" ht="12.75">
      <c r="A228" s="99" t="s">
        <v>293</v>
      </c>
      <c r="B228" s="99" t="s">
        <v>95</v>
      </c>
      <c r="C228" s="99" t="s">
        <v>332</v>
      </c>
      <c r="D228">
        <v>200</v>
      </c>
      <c r="E228">
        <v>40</v>
      </c>
      <c r="F228">
        <f>E228+3*Investments!$C$7+Investments!$C$16+Investments!$C$17</f>
        <v>108</v>
      </c>
      <c r="G228" t="str">
        <f>15+15*Investments!$C$7&amp;" feet"</f>
        <v>240 feet</v>
      </c>
      <c r="H228" t="s">
        <v>626</v>
      </c>
      <c r="I228" t="s">
        <v>623</v>
      </c>
      <c r="AM228" s="99" t="s">
        <v>810</v>
      </c>
      <c r="AN228" s="99">
        <v>8</v>
      </c>
    </row>
    <row r="229" spans="1:40" ht="12.75">
      <c r="A229" s="99" t="s">
        <v>293</v>
      </c>
      <c r="B229" s="99" t="s">
        <v>96</v>
      </c>
      <c r="C229" s="99" t="s">
        <v>333</v>
      </c>
      <c r="D229">
        <v>250</v>
      </c>
      <c r="E229">
        <v>30</v>
      </c>
      <c r="F229">
        <f>E229+3*Investments!$C$7+Investments!$C$16+Investments!$C$17</f>
        <v>98</v>
      </c>
      <c r="G229" t="s">
        <v>634</v>
      </c>
      <c r="H229" t="str">
        <f>1+2*Investments!$C$7&amp;" hours"</f>
        <v>31 hours</v>
      </c>
      <c r="I229" t="s">
        <v>623</v>
      </c>
      <c r="J229" t="str">
        <f>10+2*Investments!$C$7&amp;"% to Resist Mental Attack."</f>
        <v>40% to Resist Mental Attack.</v>
      </c>
      <c r="AM229" s="99" t="s">
        <v>803</v>
      </c>
      <c r="AN229" s="99">
        <v>8</v>
      </c>
    </row>
    <row r="230" spans="1:40" ht="12.75">
      <c r="A230" s="99" t="s">
        <v>293</v>
      </c>
      <c r="B230" s="99" t="s">
        <v>97</v>
      </c>
      <c r="C230" s="99" t="s">
        <v>334</v>
      </c>
      <c r="D230">
        <v>350</v>
      </c>
      <c r="E230">
        <v>10</v>
      </c>
      <c r="F230">
        <f>E230+3*Investments!$C$7+Investments!$C$16+Investments!$C$17</f>
        <v>78</v>
      </c>
      <c r="G230" t="s">
        <v>635</v>
      </c>
      <c r="H230" t="s">
        <v>629</v>
      </c>
      <c r="I230" t="s">
        <v>623</v>
      </c>
      <c r="AM230" s="99" t="s">
        <v>807</v>
      </c>
      <c r="AN230" s="99">
        <v>8</v>
      </c>
    </row>
    <row r="231" spans="1:40" ht="12.75">
      <c r="A231" s="99" t="s">
        <v>293</v>
      </c>
      <c r="B231" s="99" t="s">
        <v>74</v>
      </c>
      <c r="C231" s="99" t="s">
        <v>335</v>
      </c>
      <c r="D231">
        <v>50</v>
      </c>
      <c r="E231">
        <v>100</v>
      </c>
      <c r="F231">
        <f>E231+3*Investments!$C$7+Investments!$C$16+Investments!$C$17</f>
        <v>168</v>
      </c>
      <c r="G231" t="str">
        <f>10+10*Investments!$C$7&amp;" feet"</f>
        <v>160 feet</v>
      </c>
      <c r="H231" t="str">
        <f>3*Investments!$C$7&amp;" hours Max (Concentration)"</f>
        <v>45 hours Max (Concentration)</v>
      </c>
      <c r="I231" t="s">
        <v>623</v>
      </c>
      <c r="AM231" s="99" t="s">
        <v>789</v>
      </c>
      <c r="AN231" s="99">
        <v>8</v>
      </c>
    </row>
    <row r="232" spans="1:40" ht="12.75">
      <c r="A232" s="99" t="s">
        <v>293</v>
      </c>
      <c r="B232" s="99" t="s">
        <v>75</v>
      </c>
      <c r="C232" s="99" t="s">
        <v>336</v>
      </c>
      <c r="D232">
        <v>100</v>
      </c>
      <c r="E232">
        <v>60</v>
      </c>
      <c r="F232">
        <f>E232+3*Investments!$C$7+Investments!$C$16+Investments!$C$17</f>
        <v>128</v>
      </c>
      <c r="G232" t="str">
        <f>15+15*Investments!$C$7&amp;" feet"</f>
        <v>240 feet</v>
      </c>
      <c r="H232" t="str">
        <f>1+Investments!$C$7&amp;" hours"</f>
        <v>16 hours</v>
      </c>
      <c r="I232" t="s">
        <v>623</v>
      </c>
      <c r="AM232" s="99" t="s">
        <v>788</v>
      </c>
      <c r="AN232" s="99">
        <v>10</v>
      </c>
    </row>
    <row r="233" spans="1:40" ht="12.75">
      <c r="A233" s="99" t="s">
        <v>293</v>
      </c>
      <c r="B233" s="99" t="s">
        <v>76</v>
      </c>
      <c r="C233" t="s">
        <v>337</v>
      </c>
      <c r="D233">
        <v>50</v>
      </c>
      <c r="E233">
        <v>60</v>
      </c>
      <c r="F233">
        <f>E233+3*Investments!$C$7+Investments!$C$16+Investments!$C$17</f>
        <v>128</v>
      </c>
      <c r="G233" t="str">
        <f>15+1*Investments!$C$7&amp;" feet"</f>
        <v>30 feet</v>
      </c>
      <c r="H233" t="str">
        <f>1+Investments!$C$7&amp;" hours"</f>
        <v>16 hours</v>
      </c>
      <c r="I233" t="s">
        <v>623</v>
      </c>
      <c r="AM233" s="99" t="s">
        <v>785</v>
      </c>
      <c r="AN233" s="99">
        <v>10</v>
      </c>
    </row>
    <row r="234" spans="1:40" ht="12.75">
      <c r="A234" s="99" t="s">
        <v>293</v>
      </c>
      <c r="B234" s="99" t="s">
        <v>77</v>
      </c>
      <c r="C234" t="s">
        <v>338</v>
      </c>
      <c r="D234">
        <v>150</v>
      </c>
      <c r="E234">
        <v>45</v>
      </c>
      <c r="F234">
        <f>E234+3*Investments!$C$7+Investments!$C$16+Investments!$C$17</f>
        <v>113</v>
      </c>
      <c r="G234" t="s">
        <v>622</v>
      </c>
      <c r="H234" t="str">
        <f>1+Investments!$C$7&amp;" years"</f>
        <v>16 years</v>
      </c>
      <c r="I234" t="s">
        <v>623</v>
      </c>
      <c r="J234" t="str">
        <f>1+1*Investments!$C$7&amp;" acres lose fertility.  Crop failure increases by "&amp;20+Investments!$C$7&amp;"%."</f>
        <v>16 acres lose fertility.  Crop failure increases by 35%.</v>
      </c>
      <c r="AM234" s="99" t="s">
        <v>805</v>
      </c>
      <c r="AN234" s="99">
        <v>10</v>
      </c>
    </row>
    <row r="235" spans="1:40" ht="12.75">
      <c r="A235" s="99" t="s">
        <v>293</v>
      </c>
      <c r="B235" s="99" t="s">
        <v>78</v>
      </c>
      <c r="C235" t="s">
        <v>339</v>
      </c>
      <c r="D235">
        <v>150</v>
      </c>
      <c r="E235">
        <v>40</v>
      </c>
      <c r="F235">
        <f>E235+3*Investments!$C$7+Investments!$C$16+Investments!$C$17</f>
        <v>108</v>
      </c>
      <c r="G235" t="s">
        <v>622</v>
      </c>
      <c r="H235" t="str">
        <f>1+Investments!$C$7&amp;" years"</f>
        <v>16 years</v>
      </c>
      <c r="I235" t="s">
        <v>623</v>
      </c>
      <c r="J235" t="str">
        <f>1+1*Investments!$C$7&amp;" acres improve fertility."</f>
        <v>16 acres improve fertility.</v>
      </c>
      <c r="AM235" s="99" t="s">
        <v>808</v>
      </c>
      <c r="AN235" s="99">
        <v>10</v>
      </c>
    </row>
    <row r="236" spans="1:40" ht="12.75">
      <c r="A236" s="99" t="s">
        <v>293</v>
      </c>
      <c r="B236" s="99" t="s">
        <v>79</v>
      </c>
      <c r="C236" t="s">
        <v>340</v>
      </c>
      <c r="D236">
        <v>150</v>
      </c>
      <c r="E236">
        <v>45</v>
      </c>
      <c r="F236">
        <f>E236+3*Investments!$C$7+Investments!$C$16+Investments!$C$17</f>
        <v>113</v>
      </c>
      <c r="G236" t="s">
        <v>622</v>
      </c>
      <c r="H236" t="str">
        <f>1+Investments!$C$7&amp;" months"</f>
        <v>16 months</v>
      </c>
      <c r="I236" t="s">
        <v>623</v>
      </c>
      <c r="AM236" s="99" t="s">
        <v>787</v>
      </c>
      <c r="AN236" s="99">
        <v>12</v>
      </c>
    </row>
    <row r="237" spans="1:40" ht="12.75">
      <c r="A237" s="99" t="s">
        <v>293</v>
      </c>
      <c r="B237" s="99" t="s">
        <v>80</v>
      </c>
      <c r="C237" t="s">
        <v>341</v>
      </c>
      <c r="D237">
        <v>150</v>
      </c>
      <c r="E237">
        <v>45</v>
      </c>
      <c r="F237">
        <f>E237+3*Investments!$C$7+Investments!$C$16+Investments!$C$17</f>
        <v>113</v>
      </c>
      <c r="G237" t="s">
        <v>622</v>
      </c>
      <c r="H237" t="str">
        <f>1+Investments!$C$7&amp;" months"</f>
        <v>16 months</v>
      </c>
      <c r="I237" t="s">
        <v>623</v>
      </c>
      <c r="AM237" s="99" t="s">
        <v>801</v>
      </c>
      <c r="AN237" s="99">
        <v>12</v>
      </c>
    </row>
    <row r="238" spans="1:40" ht="12.75">
      <c r="A238" s="99" t="s">
        <v>293</v>
      </c>
      <c r="B238" s="99" t="s">
        <v>81</v>
      </c>
      <c r="C238" t="s">
        <v>342</v>
      </c>
      <c r="D238">
        <v>100</v>
      </c>
      <c r="E238">
        <v>20</v>
      </c>
      <c r="F238">
        <f>E238+3*Investments!$C$7+Investments!$C$16+Investments!$C$17</f>
        <v>88</v>
      </c>
      <c r="G238" t="str">
        <f>10+10*Investments!$C$7&amp;" feet"</f>
        <v>160 feet</v>
      </c>
      <c r="H238" t="s">
        <v>626</v>
      </c>
      <c r="I238" t="s">
        <v>623</v>
      </c>
      <c r="AM238" s="99" t="s">
        <v>809</v>
      </c>
      <c r="AN238" s="99">
        <v>13</v>
      </c>
    </row>
    <row r="239" spans="1:40" ht="12.75">
      <c r="A239" s="99" t="s">
        <v>293</v>
      </c>
      <c r="B239" s="99" t="s">
        <v>82</v>
      </c>
      <c r="C239" t="s">
        <v>343</v>
      </c>
      <c r="D239">
        <v>300</v>
      </c>
      <c r="E239">
        <v>20</v>
      </c>
      <c r="F239">
        <f>E239+3*Investments!$C$7+Investments!$C$16+Investments!$C$17</f>
        <v>88</v>
      </c>
      <c r="G239" t="str">
        <f>15+15*Investments!$C$7&amp;" feet"</f>
        <v>240 feet</v>
      </c>
      <c r="H239" t="str">
        <f>1+Investments!$C$7&amp;" days"</f>
        <v>16 days</v>
      </c>
      <c r="I239" t="s">
        <v>623</v>
      </c>
      <c r="J239" t="str">
        <f>-Investments!$C$7&amp;"% from targets Strike Chance AND Magic Resistance"</f>
        <v>-15% from targets Strike Chance AND Magic Resistance</v>
      </c>
      <c r="AM239" s="99" t="s">
        <v>771</v>
      </c>
      <c r="AN239" s="99">
        <v>14</v>
      </c>
    </row>
    <row r="240" spans="1:40" ht="12.75">
      <c r="A240" s="99" t="s">
        <v>293</v>
      </c>
      <c r="B240" s="99" t="s">
        <v>83</v>
      </c>
      <c r="C240" t="s">
        <v>344</v>
      </c>
      <c r="D240">
        <v>200</v>
      </c>
      <c r="E240">
        <v>20</v>
      </c>
      <c r="F240">
        <f>E240+3*Investments!$C$7+Investments!$C$16+Investments!$C$17</f>
        <v>88</v>
      </c>
      <c r="G240" t="str">
        <f>15+5*Investments!$C$7&amp;" feet"</f>
        <v>90 feet</v>
      </c>
      <c r="H240" t="str">
        <f>1+Investments!$C$7&amp;" days"</f>
        <v>16 days</v>
      </c>
      <c r="I240" t="s">
        <v>623</v>
      </c>
      <c r="AM240" s="99" t="s">
        <v>804</v>
      </c>
      <c r="AN240" s="99">
        <v>18</v>
      </c>
    </row>
    <row r="241" spans="1:40" ht="12.75">
      <c r="A241" s="99" t="s">
        <v>293</v>
      </c>
      <c r="B241" s="99" t="s">
        <v>84</v>
      </c>
      <c r="C241" t="s">
        <v>345</v>
      </c>
      <c r="D241">
        <v>200</v>
      </c>
      <c r="E241">
        <v>20</v>
      </c>
      <c r="F241">
        <f>E241+3*Investments!$C$7+Investments!$C$16+Investments!$C$17</f>
        <v>88</v>
      </c>
      <c r="G241" t="s">
        <v>622</v>
      </c>
      <c r="H241" t="s">
        <v>629</v>
      </c>
      <c r="I241" t="s">
        <v>623</v>
      </c>
      <c r="J241" t="str">
        <f>"Increase or decrease any one characteristic by "&amp;1+ROUNDUP(Investments!$C$7/3,0)</f>
        <v>Increase or decrease any one characteristic by 6</v>
      </c>
      <c r="AM241" s="99" t="s">
        <v>903</v>
      </c>
      <c r="AN241" s="99">
        <v>20</v>
      </c>
    </row>
    <row r="242" spans="1:40" ht="12.75">
      <c r="A242" s="99" t="s">
        <v>293</v>
      </c>
      <c r="B242" s="99" t="s">
        <v>85</v>
      </c>
      <c r="C242" t="s">
        <v>346</v>
      </c>
      <c r="D242">
        <v>200</v>
      </c>
      <c r="E242">
        <v>30</v>
      </c>
      <c r="F242">
        <f>E242+3*Investments!$C$7+Investments!$C$16+Investments!$C$17</f>
        <v>98</v>
      </c>
      <c r="G242" t="s">
        <v>652</v>
      </c>
      <c r="H242" t="s">
        <v>655</v>
      </c>
      <c r="I242" t="s">
        <v>623</v>
      </c>
      <c r="J242" t="str">
        <f>"Increase Virility by "&amp;5+5*Investments!$C$7</f>
        <v>Increase Virility by 80</v>
      </c>
      <c r="AM242" s="99" t="s">
        <v>784</v>
      </c>
      <c r="AN242" s="99">
        <f>2*12</f>
        <v>24</v>
      </c>
    </row>
    <row r="243" spans="1:40" ht="12.75">
      <c r="A243" s="99" t="s">
        <v>293</v>
      </c>
      <c r="B243" s="99" t="s">
        <v>86</v>
      </c>
      <c r="C243" t="s">
        <v>347</v>
      </c>
      <c r="D243">
        <v>300</v>
      </c>
      <c r="E243">
        <v>30</v>
      </c>
      <c r="F243">
        <f>E243+3*Investments!$C$7+Investments!$C$16+Investments!$C$17</f>
        <v>98</v>
      </c>
      <c r="G243" t="s">
        <v>638</v>
      </c>
      <c r="H243" t="s">
        <v>629</v>
      </c>
      <c r="I243" t="s">
        <v>623</v>
      </c>
      <c r="J243" t="str">
        <f>"Creates a potion that can heal [D-5] + "&amp;Investments!$C$7&amp;" Damage Points."</f>
        <v>Creates a potion that can heal [D-5] + 15 Damage Points.</v>
      </c>
      <c r="AM243" s="99" t="s">
        <v>853</v>
      </c>
      <c r="AN243" s="99">
        <v>24</v>
      </c>
    </row>
    <row r="244" spans="1:40" ht="12.75">
      <c r="A244" s="99" t="s">
        <v>293</v>
      </c>
      <c r="B244" s="99" t="s">
        <v>98</v>
      </c>
      <c r="C244" t="s">
        <v>348</v>
      </c>
      <c r="D244">
        <v>150</v>
      </c>
      <c r="E244">
        <v>30</v>
      </c>
      <c r="F244">
        <f>E244+3*Investments!$C$7+Investments!$C$16+Investments!$C$17</f>
        <v>98</v>
      </c>
      <c r="G244" t="str">
        <f>15+15*Investments!$C$7&amp;" feet"</f>
        <v>240 feet</v>
      </c>
      <c r="H244" t="str">
        <f>30+30*Investments!$C$7&amp;" minutes"</f>
        <v>480 minutes</v>
      </c>
      <c r="I244" t="s">
        <v>623</v>
      </c>
      <c r="AM244" s="99" t="s">
        <v>852</v>
      </c>
      <c r="AN244" s="99">
        <v>25</v>
      </c>
    </row>
    <row r="245" spans="1:40" ht="12.75">
      <c r="A245" s="99" t="s">
        <v>293</v>
      </c>
      <c r="B245" s="99" t="s">
        <v>99</v>
      </c>
      <c r="C245" t="s">
        <v>349</v>
      </c>
      <c r="D245">
        <v>400</v>
      </c>
      <c r="E245">
        <v>10</v>
      </c>
      <c r="F245">
        <f>E245+3*Investments!$C$7+Investments!$C$16+Investments!$C$17</f>
        <v>78</v>
      </c>
      <c r="G245" t="str">
        <f>30+15*Investments!$C$7&amp;" feet"</f>
        <v>255 feet</v>
      </c>
      <c r="H245" t="str">
        <f>10+10*Investments!$C$7&amp;" seconds"</f>
        <v>160 seconds</v>
      </c>
      <c r="I245" t="s">
        <v>623</v>
      </c>
      <c r="AM245" s="99" t="s">
        <v>794</v>
      </c>
      <c r="AN245" s="99">
        <v>36</v>
      </c>
    </row>
    <row r="246" spans="1:40" ht="12.75">
      <c r="A246" s="99" t="s">
        <v>293</v>
      </c>
      <c r="B246" s="99" t="s">
        <v>100</v>
      </c>
      <c r="C246" t="s">
        <v>354</v>
      </c>
      <c r="D246">
        <v>350</v>
      </c>
      <c r="E246">
        <v>10</v>
      </c>
      <c r="F246">
        <f>E246+3*Investments!$C$7+Investments!$C$16+Investments!$C$17</f>
        <v>78</v>
      </c>
      <c r="G246" t="str">
        <f>30+15*Investments!$C$7&amp;" feet"</f>
        <v>255 feet</v>
      </c>
      <c r="H246" t="str">
        <f>10+10*Investments!$C$7&amp;" seconds"</f>
        <v>160 seconds</v>
      </c>
      <c r="I246" t="s">
        <v>623</v>
      </c>
      <c r="AM246" s="99" t="s">
        <v>904</v>
      </c>
      <c r="AN246" s="99">
        <v>45</v>
      </c>
    </row>
    <row r="247" spans="1:40" ht="12.75">
      <c r="A247" s="99" t="s">
        <v>293</v>
      </c>
      <c r="B247" s="99" t="s">
        <v>101</v>
      </c>
      <c r="C247" t="s">
        <v>355</v>
      </c>
      <c r="D247">
        <v>250</v>
      </c>
      <c r="E247">
        <v>30</v>
      </c>
      <c r="F247">
        <f>E247+3*Investments!$C$7+Investments!$C$16+Investments!$C$17</f>
        <v>98</v>
      </c>
      <c r="G247" t="str">
        <f>15+15*Investments!$C$7&amp;" feet"</f>
        <v>240 feet</v>
      </c>
      <c r="H247" t="s">
        <v>629</v>
      </c>
      <c r="I247" t="str">
        <f>"[D-4] + "&amp;Investments!$C$7</f>
        <v>[D-4] + 15</v>
      </c>
      <c r="AM247" s="99" t="s">
        <v>786</v>
      </c>
      <c r="AN247" s="99">
        <v>48</v>
      </c>
    </row>
    <row r="248" spans="1:40" ht="12.75">
      <c r="A248" s="99" t="s">
        <v>293</v>
      </c>
      <c r="B248" s="99" t="s">
        <v>102</v>
      </c>
      <c r="C248" t="s">
        <v>356</v>
      </c>
      <c r="D248">
        <v>300</v>
      </c>
      <c r="E248">
        <v>20</v>
      </c>
      <c r="F248">
        <f>E248+3*Investments!$C$7+Investments!$C$16+Investments!$C$17</f>
        <v>88</v>
      </c>
      <c r="G248" t="str">
        <f>30+15*Investments!$C$7&amp;" feet"</f>
        <v>255 feet</v>
      </c>
      <c r="H248" t="str">
        <f>180+30*Investments!$C$7&amp;" minutes"</f>
        <v>630 minutes</v>
      </c>
      <c r="I248" t="s">
        <v>623</v>
      </c>
      <c r="J248" t="str">
        <f>"Adept animates "&amp;3+1*Investments!$C$7&amp;" corpses within range."</f>
        <v>Adept animates 18 corpses within range.</v>
      </c>
      <c r="AM248" s="99" t="s">
        <v>854</v>
      </c>
      <c r="AN248" s="99">
        <v>50</v>
      </c>
    </row>
    <row r="249" spans="1:40" ht="12.75">
      <c r="A249" s="99" t="s">
        <v>293</v>
      </c>
      <c r="B249" s="99" t="s">
        <v>350</v>
      </c>
      <c r="C249" t="s">
        <v>357</v>
      </c>
      <c r="D249">
        <v>375</v>
      </c>
      <c r="E249">
        <v>1</v>
      </c>
      <c r="F249">
        <f>E249+3*Investments!$C$7+Investments!$C$16+Investments!$C$17</f>
        <v>69</v>
      </c>
      <c r="G249" t="str">
        <f>15+15*Investments!$C$7&amp;" feet"</f>
        <v>240 feet</v>
      </c>
      <c r="H249" t="s">
        <v>629</v>
      </c>
      <c r="I249" t="str">
        <f>"D + "&amp;1+2*Investments!$C$7</f>
        <v>D + 31</v>
      </c>
      <c r="J249" s="140" t="s">
        <v>663</v>
      </c>
      <c r="AM249" s="99" t="s">
        <v>906</v>
      </c>
      <c r="AN249" s="99">
        <v>50</v>
      </c>
    </row>
    <row r="250" spans="1:40" ht="12.75">
      <c r="A250" s="99" t="s">
        <v>293</v>
      </c>
      <c r="B250" s="99" t="s">
        <v>351</v>
      </c>
      <c r="C250" t="s">
        <v>358</v>
      </c>
      <c r="D250">
        <v>250</v>
      </c>
      <c r="E250">
        <v>25</v>
      </c>
      <c r="F250">
        <f>E250+3*Investments!$C$7+Investments!$C$16+Investments!$C$17</f>
        <v>93</v>
      </c>
      <c r="G250" t="str">
        <f>10+10*Investments!$C$7&amp;" feet"</f>
        <v>160 feet</v>
      </c>
      <c r="H250" t="str">
        <f>30+30*Investments!$C$7&amp;" minutes"</f>
        <v>480 minutes</v>
      </c>
      <c r="I250" t="s">
        <v>623</v>
      </c>
      <c r="J250" t="str">
        <f>"Wings can fly at a rate upto "&amp;30+Investments!$C$7&amp;" MPH."</f>
        <v>Wings can fly at a rate upto 45 MPH.</v>
      </c>
      <c r="AM250" s="99" t="s">
        <v>915</v>
      </c>
      <c r="AN250" s="99">
        <v>55</v>
      </c>
    </row>
    <row r="251" spans="1:40" ht="12.75">
      <c r="A251" s="99" t="s">
        <v>293</v>
      </c>
      <c r="B251" s="99" t="s">
        <v>352</v>
      </c>
      <c r="C251" t="s">
        <v>359</v>
      </c>
      <c r="D251">
        <v>350</v>
      </c>
      <c r="E251">
        <v>30</v>
      </c>
      <c r="F251">
        <f>E251+3*Investments!$C$7+Investments!$C$16+Investments!$C$17</f>
        <v>98</v>
      </c>
      <c r="G251" t="s">
        <v>638</v>
      </c>
      <c r="H251" t="s">
        <v>629</v>
      </c>
      <c r="I251" t="s">
        <v>623</v>
      </c>
      <c r="AM251" s="99" t="s">
        <v>918</v>
      </c>
      <c r="AN251" s="99">
        <v>80</v>
      </c>
    </row>
    <row r="252" spans="1:40" ht="12.75">
      <c r="A252" s="99" t="s">
        <v>293</v>
      </c>
      <c r="B252" s="99" t="s">
        <v>353</v>
      </c>
      <c r="C252" t="s">
        <v>360</v>
      </c>
      <c r="D252">
        <v>350</v>
      </c>
      <c r="E252">
        <v>20</v>
      </c>
      <c r="F252">
        <f>E252+3*Investments!$C$7+Investments!$C$16+Investments!$C$17</f>
        <v>88</v>
      </c>
      <c r="G252" t="str">
        <f>15+15*Investments!$C$7&amp;" feet"</f>
        <v>240 feet</v>
      </c>
      <c r="H252" t="s">
        <v>629</v>
      </c>
      <c r="I252" t="s">
        <v>623</v>
      </c>
      <c r="J252" t="str">
        <f>"Effects a 5 foot square plus "&amp;25*Investments!$C$7&amp;" square feet."</f>
        <v>Effects a 5 foot square plus 375 square feet.</v>
      </c>
      <c r="AM252" s="99" t="s">
        <v>907</v>
      </c>
      <c r="AN252" s="99">
        <v>110</v>
      </c>
    </row>
    <row r="253" spans="1:40" ht="12.75">
      <c r="A253" s="99" t="s">
        <v>366</v>
      </c>
      <c r="B253" s="99" t="s">
        <v>64</v>
      </c>
      <c r="C253" t="s">
        <v>367</v>
      </c>
      <c r="D253">
        <v>150</v>
      </c>
      <c r="E253">
        <v>40</v>
      </c>
      <c r="F253">
        <f>E253+3*Investments!$C$7+Investments!$C$16+Investments!$C$17</f>
        <v>108</v>
      </c>
      <c r="G253" t="str">
        <f>25+20*Investments!$C$7&amp;" feet"</f>
        <v>325 feet</v>
      </c>
      <c r="H253" t="s">
        <v>626</v>
      </c>
      <c r="I253" t="s">
        <v>623</v>
      </c>
      <c r="AM253" s="99" t="s">
        <v>916</v>
      </c>
      <c r="AN253" s="99">
        <v>110</v>
      </c>
    </row>
    <row r="254" spans="1:40" ht="12.75">
      <c r="A254" s="99" t="s">
        <v>366</v>
      </c>
      <c r="B254" s="99" t="s">
        <v>88</v>
      </c>
      <c r="C254" t="s">
        <v>368</v>
      </c>
      <c r="D254">
        <v>50</v>
      </c>
      <c r="F254" s="138" t="str">
        <f>"PC + "&amp;5*Investments!$C$7+Investments!$C$16+Investments!$C$17</f>
        <v>PC + 98</v>
      </c>
      <c r="G254" t="s">
        <v>622</v>
      </c>
      <c r="H254" t="s">
        <v>623</v>
      </c>
      <c r="I254" t="s">
        <v>623</v>
      </c>
      <c r="AM254" s="99" t="s">
        <v>855</v>
      </c>
      <c r="AN254" s="99">
        <v>125</v>
      </c>
    </row>
    <row r="255" spans="1:40" ht="12.75">
      <c r="A255" s="99" t="s">
        <v>366</v>
      </c>
      <c r="B255" s="99" t="s">
        <v>65</v>
      </c>
      <c r="C255" t="s">
        <v>369</v>
      </c>
      <c r="D255">
        <v>100</v>
      </c>
      <c r="E255">
        <v>60</v>
      </c>
      <c r="F255">
        <f>E255+3*Investments!$C$7+Investments!$C$16+Investments!$C$17</f>
        <v>128</v>
      </c>
      <c r="G255" t="str">
        <f>40+5*Investments!$C$7&amp;" miles"</f>
        <v>115 miles</v>
      </c>
      <c r="H255" t="s">
        <v>629</v>
      </c>
      <c r="I255" t="s">
        <v>623</v>
      </c>
      <c r="J255" t="str">
        <f>"Summon "&amp;1+2*Investments!$C$7&amp;" small land mammals.  They appear within "&amp;5-0.5*Investments!$C$7&amp;" minutes."</f>
        <v>Summon 31 small land mammals.  They appear within -2.5 minutes.</v>
      </c>
      <c r="AM255" s="99" t="s">
        <v>919</v>
      </c>
      <c r="AN255" s="99">
        <v>150</v>
      </c>
    </row>
    <row r="256" spans="1:40" ht="12.75">
      <c r="A256" s="99" t="s">
        <v>366</v>
      </c>
      <c r="B256" s="99" t="s">
        <v>66</v>
      </c>
      <c r="C256" t="s">
        <v>370</v>
      </c>
      <c r="D256">
        <v>125</v>
      </c>
      <c r="E256">
        <v>35</v>
      </c>
      <c r="F256">
        <f>E256+3*Investments!$C$7+Investments!$C$16+Investments!$C$17</f>
        <v>103</v>
      </c>
      <c r="G256" t="str">
        <f>40+5*Investments!$C$7&amp;" miles"</f>
        <v>115 miles</v>
      </c>
      <c r="H256" t="s">
        <v>629</v>
      </c>
      <c r="I256" t="s">
        <v>623</v>
      </c>
      <c r="J256" t="str">
        <f>"Summon "&amp;1+Investments!$C$7&amp;" aquatic non-mammals.  They appear within "&amp;10-0.5*Investments!$C$7&amp;" minutes."</f>
        <v>Summon 16 aquatic non-mammals.  They appear within 2.5 minutes.</v>
      </c>
      <c r="AM256" s="99" t="s">
        <v>850</v>
      </c>
      <c r="AN256" s="99">
        <v>165</v>
      </c>
    </row>
    <row r="257" spans="1:40" ht="12.75">
      <c r="A257" s="99" t="s">
        <v>366</v>
      </c>
      <c r="B257" s="99" t="s">
        <v>67</v>
      </c>
      <c r="C257" t="s">
        <v>371</v>
      </c>
      <c r="D257">
        <v>100</v>
      </c>
      <c r="E257">
        <v>35</v>
      </c>
      <c r="F257">
        <f>E257+3*Investments!$C$7+Investments!$C$16+Investments!$C$17</f>
        <v>103</v>
      </c>
      <c r="G257" t="str">
        <f>40+5*Investments!$C$7&amp;" miles"</f>
        <v>115 miles</v>
      </c>
      <c r="H257" t="s">
        <v>629</v>
      </c>
      <c r="I257" t="s">
        <v>623</v>
      </c>
      <c r="J257" t="str">
        <f>"Summon "&amp;1+Investments!$C$7&amp;" Lizards, Snakes, or Insects.  They appear within "&amp;30-Investments!$C$7&amp;" minutes."</f>
        <v>Summon 16 Lizards, Snakes, or Insects.  They appear within 15 minutes.</v>
      </c>
      <c r="AM257" s="99" t="s">
        <v>917</v>
      </c>
      <c r="AN257" s="99">
        <v>220</v>
      </c>
    </row>
    <row r="258" spans="1:40" ht="12.75">
      <c r="A258" s="99" t="s">
        <v>366</v>
      </c>
      <c r="B258" s="99" t="s">
        <v>68</v>
      </c>
      <c r="C258" t="s">
        <v>372</v>
      </c>
      <c r="D258">
        <v>125</v>
      </c>
      <c r="E258">
        <v>55</v>
      </c>
      <c r="F258">
        <f>E258+3*Investments!$C$7+Investments!$C$16+Investments!$C$17</f>
        <v>123</v>
      </c>
      <c r="G258" t="str">
        <f>40+5*Investments!$C$7&amp;" miles"</f>
        <v>115 miles</v>
      </c>
      <c r="H258" t="s">
        <v>629</v>
      </c>
      <c r="I258" t="s">
        <v>623</v>
      </c>
      <c r="J258" t="str">
        <f>"Summon "&amp;1+ROUNDUP(Investments!$C$7/2,0)&amp;" Common Avians.  They appear within "&amp;5-Investments!$C$7&amp;" minutes."</f>
        <v>Summon 9 Common Avians.  They appear within -10 minutes.</v>
      </c>
      <c r="AM258" s="99" t="s">
        <v>849</v>
      </c>
      <c r="AN258" s="99">
        <v>250</v>
      </c>
    </row>
    <row r="259" spans="1:40" ht="12.75">
      <c r="A259" s="99" t="s">
        <v>366</v>
      </c>
      <c r="B259" s="99" t="s">
        <v>69</v>
      </c>
      <c r="C259" t="s">
        <v>373</v>
      </c>
      <c r="D259">
        <v>125</v>
      </c>
      <c r="E259">
        <v>50</v>
      </c>
      <c r="F259">
        <f>E259+3*Investments!$C$7+Investments!$C$16+Investments!$C$17</f>
        <v>118</v>
      </c>
      <c r="G259" t="str">
        <f>40+5*Investments!$C$7&amp;" miles"</f>
        <v>115 miles</v>
      </c>
      <c r="H259" t="s">
        <v>629</v>
      </c>
      <c r="I259" t="s">
        <v>623</v>
      </c>
      <c r="J259" t="str">
        <f>"Summon "&amp;1+Investments!$C$7&amp;" Riding Beasts.  They appear within "&amp;10-0.5*Investments!$C$7&amp;" minutes."</f>
        <v>Summon 16 Riding Beasts.  They appear within 2.5 minutes.</v>
      </c>
      <c r="AM259" s="99" t="s">
        <v>920</v>
      </c>
      <c r="AN259" s="99">
        <v>250</v>
      </c>
    </row>
    <row r="260" spans="1:40" ht="12.75">
      <c r="A260" s="99" t="s">
        <v>366</v>
      </c>
      <c r="B260" s="99" t="s">
        <v>70</v>
      </c>
      <c r="C260" t="s">
        <v>374</v>
      </c>
      <c r="D260">
        <v>150</v>
      </c>
      <c r="E260">
        <v>45</v>
      </c>
      <c r="F260">
        <f>E260+3*Investments!$C$7+Investments!$C$16+Investments!$C$17</f>
        <v>113</v>
      </c>
      <c r="G260" t="str">
        <f>40+5*Investments!$C$7&amp;" miles"</f>
        <v>115 miles</v>
      </c>
      <c r="H260" t="s">
        <v>629</v>
      </c>
      <c r="I260" t="s">
        <v>623</v>
      </c>
      <c r="J260" t="str">
        <f>"Summon "&amp;1+Investments!$C$7&amp;" Apes or Pre-Humans.  They appear within "&amp;20-Investments!$C$7&amp;" minutes."</f>
        <v>Summon 16 Apes or Pre-Humans.  They appear within 5 minutes.</v>
      </c>
      <c r="AM260" s="99" t="s">
        <v>848</v>
      </c>
      <c r="AN260" s="99">
        <v>400</v>
      </c>
    </row>
    <row r="261" spans="1:40" ht="12.75">
      <c r="A261" s="99" t="s">
        <v>366</v>
      </c>
      <c r="B261" s="99" t="s">
        <v>71</v>
      </c>
      <c r="C261" t="s">
        <v>375</v>
      </c>
      <c r="D261">
        <v>150</v>
      </c>
      <c r="E261">
        <v>45</v>
      </c>
      <c r="F261">
        <f>E261+3*Investments!$C$7+Investments!$C$16+Investments!$C$17</f>
        <v>113</v>
      </c>
      <c r="G261" t="str">
        <f>40+5*Investments!$C$7&amp;" miles"</f>
        <v>115 miles</v>
      </c>
      <c r="H261" t="s">
        <v>629</v>
      </c>
      <c r="I261" t="s">
        <v>623</v>
      </c>
      <c r="J261" t="str">
        <f>"Summon "&amp;1+Investments!$C$7&amp;" Felines.  They appear within "&amp;15-Investments!$C$7&amp;" minutes."</f>
        <v>Summon 16 Felines.  They appear within 0 minutes.</v>
      </c>
      <c r="AM261" s="99" t="s">
        <v>847</v>
      </c>
      <c r="AN261" s="99">
        <v>600</v>
      </c>
    </row>
    <row r="262" spans="1:10" ht="12.75">
      <c r="A262" s="99" t="s">
        <v>366</v>
      </c>
      <c r="B262" s="99" t="s">
        <v>72</v>
      </c>
      <c r="C262" t="s">
        <v>376</v>
      </c>
      <c r="D262">
        <v>200</v>
      </c>
      <c r="E262">
        <v>40</v>
      </c>
      <c r="F262">
        <f>E262+3*Investments!$C$7+Investments!$C$16+Investments!$C$17</f>
        <v>108</v>
      </c>
      <c r="G262" t="str">
        <f>20+10*Investments!$C$7&amp;" miles"</f>
        <v>170 miles</v>
      </c>
      <c r="H262" t="str">
        <f>"D*"&amp;Investments!$C$7&amp;" hours"</f>
        <v>D*15 hours</v>
      </c>
      <c r="I262" t="s">
        <v>623</v>
      </c>
      <c r="J262" t="str">
        <f>"Bind "&amp;1+Investments!$C$7&amp;" creatures."</f>
        <v>Bind 16 creatures.</v>
      </c>
    </row>
    <row r="263" spans="1:10" ht="12.75">
      <c r="A263" s="99" t="s">
        <v>366</v>
      </c>
      <c r="B263" s="99" t="s">
        <v>73</v>
      </c>
      <c r="C263" t="s">
        <v>377</v>
      </c>
      <c r="D263">
        <v>300</v>
      </c>
      <c r="E263">
        <v>15</v>
      </c>
      <c r="F263">
        <f>E263+3*Investments!$C$7+Investments!$C$16+Investments!$C$17</f>
        <v>83</v>
      </c>
      <c r="G263" t="str">
        <f>40+5*Investments!$C$7&amp;" miles"</f>
        <v>115 miles</v>
      </c>
      <c r="H263" t="s">
        <v>629</v>
      </c>
      <c r="I263" t="s">
        <v>623</v>
      </c>
      <c r="J263" t="str">
        <f>"Summon "&amp;1+ROUNDUP(Investments!$C$7/2,0)&amp;" Lesser Undead.  They appear within "&amp;300-20*Investments!$C$7&amp;" seconds."</f>
        <v>Summon 9 Lesser Undead.  They appear within 0 seconds.</v>
      </c>
    </row>
    <row r="264" spans="1:9" ht="12.75">
      <c r="A264" s="99" t="s">
        <v>366</v>
      </c>
      <c r="B264" s="99" t="s">
        <v>90</v>
      </c>
      <c r="C264" t="s">
        <v>378</v>
      </c>
      <c r="D264">
        <v>250</v>
      </c>
      <c r="E264">
        <v>45</v>
      </c>
      <c r="F264">
        <f>E264+3*Investments!$C$7+Investments!$C$16+Investments!$C$17</f>
        <v>113</v>
      </c>
      <c r="G264" t="str">
        <f>40+5*Investments!$C$7&amp;" feet"</f>
        <v>115 feet</v>
      </c>
      <c r="H264" t="s">
        <v>629</v>
      </c>
      <c r="I264" t="s">
        <v>623</v>
      </c>
    </row>
    <row r="265" spans="1:9" ht="12.75">
      <c r="A265" s="99" t="s">
        <v>366</v>
      </c>
      <c r="B265" s="99" t="s">
        <v>94</v>
      </c>
      <c r="C265" t="s">
        <v>379</v>
      </c>
      <c r="D265">
        <v>200</v>
      </c>
      <c r="E265">
        <v>30</v>
      </c>
      <c r="F265">
        <f>E265+3*Investments!$C$7+Investments!$C$16+Investments!$C$17</f>
        <v>98</v>
      </c>
      <c r="G265" t="str">
        <f>15+15*Investments!$C$7&amp;" feet"</f>
        <v>240 feet</v>
      </c>
      <c r="H265" t="str">
        <f>15+15*Investments!$C$7&amp;" minutes"</f>
        <v>240 minutes</v>
      </c>
      <c r="I265" t="s">
        <v>623</v>
      </c>
    </row>
    <row r="266" spans="1:10" ht="12.75">
      <c r="A266" s="99" t="s">
        <v>366</v>
      </c>
      <c r="B266" s="99" t="s">
        <v>95</v>
      </c>
      <c r="C266" t="s">
        <v>380</v>
      </c>
      <c r="D266">
        <v>100</v>
      </c>
      <c r="E266">
        <v>30</v>
      </c>
      <c r="F266">
        <f>E266+3*Investments!$C$7+Investments!$C$16+Investments!$C$17</f>
        <v>98</v>
      </c>
      <c r="G266" t="str">
        <f>40+5*Investments!$C$7&amp;" miles"</f>
        <v>115 miles</v>
      </c>
      <c r="H266" t="s">
        <v>629</v>
      </c>
      <c r="I266" t="s">
        <v>623</v>
      </c>
      <c r="J266" t="str">
        <f>100+50*Investments!$C$7&amp;" cubic feet of fog arrives in "&amp;10-0.5*Investments!$C$7&amp;" minutes and reduces visilibility to "&amp;20-2*Investments!$C$7&amp;" feet."</f>
        <v>850 cubic feet of fog arrives in 2.5 minutes and reduces visilibility to -10 feet.</v>
      </c>
    </row>
    <row r="267" spans="1:39" ht="12.75">
      <c r="A267" s="99" t="s">
        <v>366</v>
      </c>
      <c r="B267" s="99" t="s">
        <v>96</v>
      </c>
      <c r="C267" t="s">
        <v>381</v>
      </c>
      <c r="D267">
        <v>200</v>
      </c>
      <c r="E267">
        <v>25</v>
      </c>
      <c r="F267">
        <f>E267+3*Investments!$C$7+Investments!$C$16+Investments!$C$17</f>
        <v>93</v>
      </c>
      <c r="G267" t="s">
        <v>638</v>
      </c>
      <c r="H267" t="s">
        <v>629</v>
      </c>
      <c r="I267" t="s">
        <v>623</v>
      </c>
      <c r="J267" t="str">
        <f>"Caster may absorb 2 points of EN or FT damage for every 1 FT the casters spends."</f>
        <v>Caster may absorb 2 points of EN or FT damage for every 1 FT the casters spends.</v>
      </c>
      <c r="AM267" s="153" t="s">
        <v>27</v>
      </c>
    </row>
    <row r="268" spans="1:40" ht="12.75">
      <c r="A268" s="99" t="s">
        <v>366</v>
      </c>
      <c r="B268" s="99" t="s">
        <v>97</v>
      </c>
      <c r="C268" t="s">
        <v>382</v>
      </c>
      <c r="D268">
        <v>400</v>
      </c>
      <c r="E268">
        <v>20</v>
      </c>
      <c r="F268">
        <f>E268+3*Investments!$C$7+Investments!$C$16+Investments!$C$17</f>
        <v>88</v>
      </c>
      <c r="G268" t="str">
        <f>IF(Investments!$C$7&lt;10,"Touch",Investments!$C$7&amp;" feet")</f>
        <v>15 feet</v>
      </c>
      <c r="H268" t="s">
        <v>629</v>
      </c>
      <c r="I268" s="139">
        <f>1+ROUNDUP(Investments!$C$7/3,0)</f>
        <v>6</v>
      </c>
      <c r="J268" t="s">
        <v>686</v>
      </c>
      <c r="AM268" s="99" t="s">
        <v>841</v>
      </c>
      <c r="AN268" s="99">
        <v>125</v>
      </c>
    </row>
    <row r="269" spans="1:40" ht="12.75">
      <c r="A269" s="99" t="s">
        <v>366</v>
      </c>
      <c r="B269" s="99" t="s">
        <v>74</v>
      </c>
      <c r="C269" t="s">
        <v>383</v>
      </c>
      <c r="D269">
        <v>300</v>
      </c>
      <c r="E269">
        <v>40</v>
      </c>
      <c r="F269">
        <f>E269+3*Investments!$C$7+Investments!$C$16+Investments!$C$17</f>
        <v>108</v>
      </c>
      <c r="G269" t="str">
        <f>200+30*Investments!$C$7&amp;" feet"</f>
        <v>650 feet</v>
      </c>
      <c r="H269" t="str">
        <f>1+Investments!$C$7&amp;" hours"</f>
        <v>16 hours</v>
      </c>
      <c r="I269" t="s">
        <v>623</v>
      </c>
      <c r="AM269" s="99" t="s">
        <v>836</v>
      </c>
      <c r="AN269" s="99">
        <v>150</v>
      </c>
    </row>
    <row r="270" spans="1:40" ht="12.75">
      <c r="A270" s="99" t="s">
        <v>366</v>
      </c>
      <c r="B270" s="99" t="s">
        <v>75</v>
      </c>
      <c r="C270" t="s">
        <v>384</v>
      </c>
      <c r="D270">
        <v>150</v>
      </c>
      <c r="E270">
        <v>65</v>
      </c>
      <c r="F270">
        <f>E270+3*Investments!$C$7+Investments!$C$16+Investments!$C$17</f>
        <v>133</v>
      </c>
      <c r="G270" t="str">
        <f>100+20*Investments!$C$7&amp;" feet"</f>
        <v>400 feet</v>
      </c>
      <c r="H270" t="str">
        <f>1+Investments!$C$7&amp;" hours"</f>
        <v>16 hours</v>
      </c>
      <c r="I270" t="s">
        <v>623</v>
      </c>
      <c r="AM270" s="99" t="s">
        <v>838</v>
      </c>
      <c r="AN270" s="99">
        <v>60</v>
      </c>
    </row>
    <row r="271" spans="1:40" ht="12.75">
      <c r="A271" s="99" t="s">
        <v>366</v>
      </c>
      <c r="B271" s="99" t="s">
        <v>76</v>
      </c>
      <c r="C271" t="s">
        <v>385</v>
      </c>
      <c r="D271">
        <v>150</v>
      </c>
      <c r="E271">
        <v>45</v>
      </c>
      <c r="F271">
        <f>E271+3*Investments!$C$7+Investments!$C$16+Investments!$C$17</f>
        <v>113</v>
      </c>
      <c r="G271" t="str">
        <f>40+5*Investments!$C$7&amp;" miles"</f>
        <v>115 miles</v>
      </c>
      <c r="H271" t="s">
        <v>629</v>
      </c>
      <c r="I271" t="s">
        <v>623</v>
      </c>
      <c r="J271" t="str">
        <f>"Summon "&amp;1+Investments!$C$7&amp;" Great Land Mammals.  They appear within "&amp;15-Investments!$C$7&amp;" minutes."</f>
        <v>Summon 16 Great Land Mammals.  They appear within 0 minutes.</v>
      </c>
      <c r="AM271" s="99" t="s">
        <v>845</v>
      </c>
      <c r="AN271" s="99">
        <v>45</v>
      </c>
    </row>
    <row r="272" spans="1:40" ht="12.75">
      <c r="A272" s="99" t="s">
        <v>366</v>
      </c>
      <c r="B272" s="99" t="s">
        <v>77</v>
      </c>
      <c r="C272" t="s">
        <v>386</v>
      </c>
      <c r="D272">
        <v>175</v>
      </c>
      <c r="E272">
        <v>60</v>
      </c>
      <c r="F272">
        <f>E272+3*Investments!$C$7+Investments!$C$16+Investments!$C$17</f>
        <v>128</v>
      </c>
      <c r="G272" t="str">
        <f>40+5*Investments!$C$7&amp;" miles"</f>
        <v>115 miles</v>
      </c>
      <c r="H272" t="s">
        <v>629</v>
      </c>
      <c r="I272" t="s">
        <v>623</v>
      </c>
      <c r="J272" t="str">
        <f>"Summon "&amp;1+Investments!$C$7&amp;" Aquatic Mammals (except merfolk).  They appear within "&amp;10-0.5*Investments!$C$7&amp;" minutes."</f>
        <v>Summon 16 Aquatic Mammals (except merfolk).  They appear within 2.5 minutes.</v>
      </c>
      <c r="AM272" s="99" t="s">
        <v>910</v>
      </c>
      <c r="AN272" s="99">
        <v>10</v>
      </c>
    </row>
    <row r="273" spans="1:40" ht="12.75">
      <c r="A273" s="99" t="s">
        <v>366</v>
      </c>
      <c r="B273" s="99" t="s">
        <v>78</v>
      </c>
      <c r="C273" t="s">
        <v>387</v>
      </c>
      <c r="D273">
        <v>300</v>
      </c>
      <c r="E273">
        <v>20</v>
      </c>
      <c r="F273">
        <f>E273+3*Investments!$C$7+Investments!$C$16+Investments!$C$17</f>
        <v>88</v>
      </c>
      <c r="G273" t="str">
        <f>40+5*Investments!$C$7&amp;" miles"</f>
        <v>115 miles</v>
      </c>
      <c r="H273" t="s">
        <v>629</v>
      </c>
      <c r="I273" t="s">
        <v>623</v>
      </c>
      <c r="J273" t="str">
        <f>"Summon "&amp;1+Investments!$C$7&amp;" Giants, Earth Dwellers, Humanoids, or Shapechangers.  They appear within "&amp;15-0.5*Investments!$C$7&amp;" minutes."</f>
        <v>Summon 16 Giants, Earth Dwellers, Humanoids, or Shapechangers.  They appear within 7.5 minutes.</v>
      </c>
      <c r="AM273" s="99" t="s">
        <v>909</v>
      </c>
      <c r="AN273" s="99">
        <v>30</v>
      </c>
    </row>
    <row r="274" spans="1:40" ht="12.75">
      <c r="A274" s="99" t="s">
        <v>366</v>
      </c>
      <c r="B274" s="99" t="s">
        <v>79</v>
      </c>
      <c r="C274" t="s">
        <v>388</v>
      </c>
      <c r="D274">
        <v>400</v>
      </c>
      <c r="E274">
        <v>10</v>
      </c>
      <c r="F274">
        <f>E274+3*Investments!$C$7+Investments!$C$16+Investments!$C$17</f>
        <v>78</v>
      </c>
      <c r="G274" t="str">
        <f>40+5*Investments!$C$7&amp;" miles"</f>
        <v>115 miles</v>
      </c>
      <c r="H274" t="s">
        <v>629</v>
      </c>
      <c r="I274" t="s">
        <v>623</v>
      </c>
      <c r="J274" t="str">
        <f>"Summon "&amp;1+Investments!$C$7&amp;" Fairy Folks.  They appear within "&amp;15-Investments!$C$7&amp;" minutes."</f>
        <v>Summon 16 Fairy Folks.  They appear within 0 minutes.</v>
      </c>
      <c r="AM274" s="99" t="s">
        <v>839</v>
      </c>
      <c r="AN274" s="99">
        <v>50</v>
      </c>
    </row>
    <row r="275" spans="1:40" ht="12.75">
      <c r="A275" s="99" t="s">
        <v>366</v>
      </c>
      <c r="B275" s="99" t="s">
        <v>80</v>
      </c>
      <c r="C275" t="s">
        <v>389</v>
      </c>
      <c r="D275">
        <v>300</v>
      </c>
      <c r="E275">
        <v>35</v>
      </c>
      <c r="F275">
        <f>E275+3*Investments!$C$7+Investments!$C$16+Investments!$C$17</f>
        <v>103</v>
      </c>
      <c r="G275" t="str">
        <f>20+10*Investments!$C$7&amp;" feet"</f>
        <v>170 feet</v>
      </c>
      <c r="H275" t="str">
        <f>"D*"&amp;Investments!$C$7&amp;" hours"</f>
        <v>D*15 hours</v>
      </c>
      <c r="I275" t="s">
        <v>623</v>
      </c>
      <c r="J275" t="str">
        <f>"Bind "&amp;1+Investments!$C$7&amp;" creatures."</f>
        <v>Bind 16 creatures.</v>
      </c>
      <c r="AM275" s="99" t="s">
        <v>844</v>
      </c>
      <c r="AN275" s="99">
        <v>60</v>
      </c>
    </row>
    <row r="276" spans="1:40" ht="12.75">
      <c r="A276" s="99" t="s">
        <v>366</v>
      </c>
      <c r="B276" s="99" t="s">
        <v>81</v>
      </c>
      <c r="C276" t="s">
        <v>390</v>
      </c>
      <c r="D276">
        <v>550</v>
      </c>
      <c r="E276">
        <v>35</v>
      </c>
      <c r="F276">
        <f>E276+3*Investments!$C$7+Investments!$C$16+Investments!$C$17</f>
        <v>103</v>
      </c>
      <c r="G276" t="str">
        <f>40+10*Investments!$C$7&amp;" feet"</f>
        <v>190 feet</v>
      </c>
      <c r="H276" t="str">
        <f>"D*"&amp;Investments!$C$7&amp;" Minutes"</f>
        <v>D*15 Minutes</v>
      </c>
      <c r="I276" t="s">
        <v>623</v>
      </c>
      <c r="J276" t="s">
        <v>687</v>
      </c>
      <c r="AM276" s="99" t="s">
        <v>843</v>
      </c>
      <c r="AN276" s="99">
        <v>200</v>
      </c>
    </row>
    <row r="277" spans="1:40" ht="12.75">
      <c r="A277" s="99" t="s">
        <v>366</v>
      </c>
      <c r="B277" s="99" t="s">
        <v>82</v>
      </c>
      <c r="C277" t="s">
        <v>391</v>
      </c>
      <c r="D277">
        <v>200</v>
      </c>
      <c r="E277">
        <v>25</v>
      </c>
      <c r="F277">
        <f>E277+3*Investments!$C$7+Investments!$C$16+Investments!$C$17</f>
        <v>93</v>
      </c>
      <c r="G277" t="s">
        <v>638</v>
      </c>
      <c r="H277" t="str">
        <f>5+5*Investments!$C$7&amp;" minutes Max (Concentration)"</f>
        <v>80 minutes Max (Concentration)</v>
      </c>
      <c r="I277" t="s">
        <v>623</v>
      </c>
      <c r="J277" t="s">
        <v>688</v>
      </c>
      <c r="AM277" s="99" t="s">
        <v>840</v>
      </c>
      <c r="AN277" s="99">
        <v>20</v>
      </c>
    </row>
    <row r="278" spans="1:40" ht="12.75">
      <c r="A278" s="99" t="s">
        <v>366</v>
      </c>
      <c r="B278" s="99" t="s">
        <v>83</v>
      </c>
      <c r="C278" t="s">
        <v>392</v>
      </c>
      <c r="D278">
        <v>125</v>
      </c>
      <c r="F278" t="s">
        <v>685</v>
      </c>
      <c r="G278" t="s">
        <v>635</v>
      </c>
      <c r="H278" t="s">
        <v>629</v>
      </c>
      <c r="I278" t="s">
        <v>623</v>
      </c>
      <c r="J278" t="str">
        <f>"Summon "&amp;1+Investments!$C$7&amp;" Creatures of Light.  They appear within "&amp;10-0.5*Investments!$C$7&amp;" minutes."</f>
        <v>Summon 16 Creatures of Light.  They appear within 2.5 minutes.</v>
      </c>
      <c r="AM278" s="99" t="s">
        <v>842</v>
      </c>
      <c r="AN278" s="99">
        <v>120</v>
      </c>
    </row>
    <row r="279" spans="1:40" ht="12.75">
      <c r="A279" s="99" t="s">
        <v>366</v>
      </c>
      <c r="B279" s="99" t="s">
        <v>84</v>
      </c>
      <c r="C279" t="s">
        <v>393</v>
      </c>
      <c r="D279">
        <v>125</v>
      </c>
      <c r="F279" t="s">
        <v>685</v>
      </c>
      <c r="G279" t="s">
        <v>635</v>
      </c>
      <c r="H279" t="s">
        <v>629</v>
      </c>
      <c r="I279" t="s">
        <v>623</v>
      </c>
      <c r="J279" t="str">
        <f>"Summon "&amp;1+Investments!$C$7&amp;" Creatures of Darkness.  They appear within "&amp;10-0.5*Investments!$C$7&amp;" minutes."</f>
        <v>Summon 16 Creatures of Darkness.  They appear within 2.5 minutes.</v>
      </c>
      <c r="AM279" s="99" t="s">
        <v>908</v>
      </c>
      <c r="AN279" s="99">
        <v>4</v>
      </c>
    </row>
    <row r="280" spans="1:40" ht="12.75">
      <c r="A280" s="99" t="s">
        <v>366</v>
      </c>
      <c r="B280" s="99" t="s">
        <v>85</v>
      </c>
      <c r="C280" t="s">
        <v>394</v>
      </c>
      <c r="D280">
        <v>275</v>
      </c>
      <c r="E280">
        <v>35</v>
      </c>
      <c r="F280">
        <f>E280+3*Investments!$C$7+Investments!$C$16+Investments!$C$17</f>
        <v>103</v>
      </c>
      <c r="G280" t="s">
        <v>635</v>
      </c>
      <c r="H280" t="s">
        <v>629</v>
      </c>
      <c r="I280" t="s">
        <v>623</v>
      </c>
      <c r="J280" t="str">
        <f>"Summon "&amp;1+ROUNDUP(Investments!$C$7/5,0)&amp;" Fantastical Avians.  They appear within "&amp;10-0.5*Investments!$C$7&amp;" minutes."</f>
        <v>Summon 4 Fantastical Avians.  They appear within 2.5 minutes.</v>
      </c>
      <c r="AM280" s="99" t="s">
        <v>837</v>
      </c>
      <c r="AN280" s="99">
        <v>30</v>
      </c>
    </row>
    <row r="281" spans="1:10" ht="12.75">
      <c r="A281" s="99" t="s">
        <v>366</v>
      </c>
      <c r="B281" s="99" t="s">
        <v>86</v>
      </c>
      <c r="C281" t="s">
        <v>395</v>
      </c>
      <c r="D281">
        <v>275</v>
      </c>
      <c r="E281">
        <v>25</v>
      </c>
      <c r="F281">
        <f>E281+3*Investments!$C$7+Investments!$C$16+Investments!$C$17</f>
        <v>93</v>
      </c>
      <c r="G281" t="s">
        <v>635</v>
      </c>
      <c r="H281" t="s">
        <v>629</v>
      </c>
      <c r="I281" t="s">
        <v>623</v>
      </c>
      <c r="J281" t="str">
        <f>"Summon "&amp;1+ROUNDUP(Investments!$C$7/5,0)&amp;" Fantastical Monsters.  They appear within "&amp;10-0.5*Investments!$C$7&amp;" minutes."</f>
        <v>Summon 4 Fantastical Monsters.  They appear within 2.5 minutes.</v>
      </c>
    </row>
    <row r="282" spans="1:10" ht="12.75">
      <c r="A282" s="99" t="s">
        <v>366</v>
      </c>
      <c r="B282" s="99" t="s">
        <v>98</v>
      </c>
      <c r="C282" t="s">
        <v>396</v>
      </c>
      <c r="D282">
        <v>400</v>
      </c>
      <c r="E282">
        <v>15</v>
      </c>
      <c r="F282">
        <f>E282+3*Investments!$C$7+Investments!$C$16+Investments!$C$17</f>
        <v>83</v>
      </c>
      <c r="G282" t="s">
        <v>635</v>
      </c>
      <c r="H282" t="s">
        <v>629</v>
      </c>
      <c r="I282" t="s">
        <v>623</v>
      </c>
      <c r="J282" t="str">
        <f>"Summon "&amp;1+ROUNDUP(Investments!$C$7/3,0)&amp;" Greater Undead.  They appear within "&amp;10-0.5*Investments!$C$7&amp;" minutes."</f>
        <v>Summon 6 Greater Undead.  They appear within 2.5 minutes.</v>
      </c>
    </row>
    <row r="283" spans="1:10" ht="12.75">
      <c r="A283" s="99" t="s">
        <v>366</v>
      </c>
      <c r="B283" s="99" t="s">
        <v>99</v>
      </c>
      <c r="C283" t="s">
        <v>397</v>
      </c>
      <c r="D283">
        <v>450</v>
      </c>
      <c r="E283">
        <v>20</v>
      </c>
      <c r="F283">
        <f>E283+3*Investments!$C$7+Investments!$C$16+Investments!$C$17</f>
        <v>88</v>
      </c>
      <c r="G283" t="str">
        <f>40+5*Investments!$C$7&amp;" miles"</f>
        <v>115 miles</v>
      </c>
      <c r="H283" t="s">
        <v>629</v>
      </c>
      <c r="I283" t="s">
        <v>623</v>
      </c>
      <c r="J283" t="str">
        <f>"Summon "&amp;1+ROUNDUP(Investments!$C$7/5,0)&amp;" Summonables.  They appear within "&amp;10-0.5*Investments!$C$7&amp;" minutes."</f>
        <v>Summon 4 Summonables.  They appear within 2.5 minutes.</v>
      </c>
    </row>
    <row r="284" spans="1:9" ht="12.75">
      <c r="A284" s="99" t="s">
        <v>366</v>
      </c>
      <c r="B284" s="99" t="s">
        <v>100</v>
      </c>
      <c r="C284" t="s">
        <v>398</v>
      </c>
      <c r="D284">
        <v>550</v>
      </c>
      <c r="E284">
        <v>10</v>
      </c>
      <c r="F284">
        <f>E284+3*Investments!$C$7+Investments!$C$16+Investments!$C$17</f>
        <v>78</v>
      </c>
      <c r="G284" t="str">
        <f>5+5*Investments!$C$7&amp;" feet"</f>
        <v>80 feet</v>
      </c>
      <c r="H284" t="str">
        <f>1+Investments!$C$7&amp;" hours"</f>
        <v>16 hours</v>
      </c>
      <c r="I284" t="s">
        <v>623</v>
      </c>
    </row>
    <row r="285" spans="1:10" ht="12.75">
      <c r="A285" s="99" t="s">
        <v>366</v>
      </c>
      <c r="B285" s="99" t="s">
        <v>101</v>
      </c>
      <c r="C285" t="s">
        <v>399</v>
      </c>
      <c r="D285">
        <v>450</v>
      </c>
      <c r="E285">
        <v>17</v>
      </c>
      <c r="F285">
        <f>E285+3*Investments!$C$7+Investments!$C$16+Investments!$C$17</f>
        <v>85</v>
      </c>
      <c r="G285" t="str">
        <f>40+5*Investments!$C$7&amp;" miles"</f>
        <v>115 miles</v>
      </c>
      <c r="H285" t="s">
        <v>629</v>
      </c>
      <c r="I285" t="s">
        <v>623</v>
      </c>
      <c r="J285" t="str">
        <f>"Summon one Dragon.  It will appear within "&amp;20-Investments!$C$7&amp;" minutes."</f>
        <v>Summon one Dragon.  It will appear within 5 minutes.</v>
      </c>
    </row>
    <row r="286" spans="1:39" ht="12.75">
      <c r="A286" s="99" t="s">
        <v>400</v>
      </c>
      <c r="B286" s="99" t="s">
        <v>64</v>
      </c>
      <c r="C286" t="s">
        <v>403</v>
      </c>
      <c r="D286">
        <v>250</v>
      </c>
      <c r="E286">
        <v>10</v>
      </c>
      <c r="F286">
        <f>E286+3*Investments!$C$7+Investments!$C$16+Investments!$C$17</f>
        <v>78</v>
      </c>
      <c r="G286" t="s">
        <v>622</v>
      </c>
      <c r="H286" t="str">
        <f>20-0.5*Investments!$C$7&amp;" hours"</f>
        <v>12.5 hours</v>
      </c>
      <c r="I286" t="s">
        <v>623</v>
      </c>
      <c r="J286" t="str">
        <f>F286&amp;"% of knowing language at Rank "&amp;Investments!$C$7&amp;" else "&amp;30+F286&amp;"% of knowing at Rank "&amp;ROUNDUP(0.5*Investments!$C$7,0)</f>
        <v>78% of knowing language at Rank 15 else 108% of knowing at Rank 8</v>
      </c>
      <c r="AM286" s="153" t="s">
        <v>911</v>
      </c>
    </row>
    <row r="287" spans="1:40" ht="12.75">
      <c r="A287" s="99" t="s">
        <v>400</v>
      </c>
      <c r="B287" s="99" t="s">
        <v>88</v>
      </c>
      <c r="C287" t="s">
        <v>404</v>
      </c>
      <c r="D287">
        <v>250</v>
      </c>
      <c r="E287">
        <v>25</v>
      </c>
      <c r="F287">
        <f>E287+3*Investments!$C$7+Investments!$C$16+Investments!$C$17</f>
        <v>93</v>
      </c>
      <c r="G287" t="s">
        <v>622</v>
      </c>
      <c r="H287" t="str">
        <f>12-Investments!$C$7&amp;" + Rank of Code hours"</f>
        <v>-3 + Rank of Code hours</v>
      </c>
      <c r="I287" t="s">
        <v>623</v>
      </c>
      <c r="J287" t="s">
        <v>689</v>
      </c>
      <c r="AM287" s="99" t="s">
        <v>912</v>
      </c>
      <c r="AN287" s="99">
        <v>10</v>
      </c>
    </row>
    <row r="288" spans="1:40" ht="12.75">
      <c r="A288" s="99" t="s">
        <v>400</v>
      </c>
      <c r="B288" s="99" t="s">
        <v>89</v>
      </c>
      <c r="C288" t="s">
        <v>405</v>
      </c>
      <c r="D288">
        <v>100</v>
      </c>
      <c r="E288">
        <v>30</v>
      </c>
      <c r="F288">
        <f>E288+3*Investments!$C$7+Investments!$C$16+Investments!$C$17</f>
        <v>98</v>
      </c>
      <c r="G288" t="s">
        <v>622</v>
      </c>
      <c r="H288" t="s">
        <v>629</v>
      </c>
      <c r="I288" t="s">
        <v>623</v>
      </c>
      <c r="AM288" s="99" t="s">
        <v>913</v>
      </c>
      <c r="AN288" s="99">
        <v>30</v>
      </c>
    </row>
    <row r="289" spans="1:40" ht="12.75">
      <c r="A289" s="99" t="s">
        <v>400</v>
      </c>
      <c r="B289" s="99" t="s">
        <v>401</v>
      </c>
      <c r="C289" t="s">
        <v>406</v>
      </c>
      <c r="D289">
        <v>150</v>
      </c>
      <c r="F289" t="s">
        <v>633</v>
      </c>
      <c r="G289" t="s">
        <v>622</v>
      </c>
      <c r="H289" t="s">
        <v>629</v>
      </c>
      <c r="I289" t="s">
        <v>623</v>
      </c>
      <c r="AM289" s="99" t="s">
        <v>914</v>
      </c>
      <c r="AN289" s="99">
        <v>350</v>
      </c>
    </row>
    <row r="290" spans="1:9" ht="12.75">
      <c r="A290" s="99" t="s">
        <v>400</v>
      </c>
      <c r="B290" s="99" t="s">
        <v>402</v>
      </c>
      <c r="C290" t="s">
        <v>407</v>
      </c>
      <c r="D290">
        <v>250</v>
      </c>
      <c r="E290">
        <v>40</v>
      </c>
      <c r="F290">
        <f>E290+3*Investments!$C$7+Investments!$C$16+Investments!$C$17</f>
        <v>108</v>
      </c>
      <c r="G290" t="str">
        <f>10+10*Investments!$C$7&amp;" feet"</f>
        <v>160 feet</v>
      </c>
      <c r="H290" t="s">
        <v>629</v>
      </c>
      <c r="I290" t="s">
        <v>623</v>
      </c>
    </row>
    <row r="291" spans="1:9" ht="12.75">
      <c r="A291" s="99" t="s">
        <v>400</v>
      </c>
      <c r="B291" s="99" t="s">
        <v>65</v>
      </c>
      <c r="C291" t="s">
        <v>408</v>
      </c>
      <c r="D291">
        <v>100</v>
      </c>
      <c r="E291">
        <v>45</v>
      </c>
      <c r="F291">
        <f>E291+3*Investments!$C$7+Investments!$C$16+Investments!$C$17</f>
        <v>113</v>
      </c>
      <c r="G291" t="s">
        <v>622</v>
      </c>
      <c r="H291" t="s">
        <v>629</v>
      </c>
      <c r="I291" t="s">
        <v>623</v>
      </c>
    </row>
    <row r="292" spans="1:10" ht="12.75">
      <c r="A292" s="99" t="s">
        <v>400</v>
      </c>
      <c r="B292" s="99" t="s">
        <v>66</v>
      </c>
      <c r="C292" t="s">
        <v>409</v>
      </c>
      <c r="D292">
        <v>100</v>
      </c>
      <c r="E292">
        <v>45</v>
      </c>
      <c r="F292">
        <f>E292+3*Investments!$C$7+Investments!$C$16+Investments!$C$17</f>
        <v>113</v>
      </c>
      <c r="G292" t="str">
        <f>15+15*Investments!$C$7&amp;" feet"</f>
        <v>240 feet</v>
      </c>
      <c r="H292" t="str">
        <f>15*Investments!$C$7&amp;" minutes"</f>
        <v>225 minutes</v>
      </c>
      <c r="I292" t="s">
        <v>623</v>
      </c>
      <c r="J292" t="str">
        <f>IF(Investments!$C$7&lt;6,"Dark as a cloudy night.",IF(Investments!$C$7&lt;11,"Dark as a moonless, cloudy night","Dark as a sealed room."))&amp;" Volume is "&amp;1000+500*Investments!$C$7&amp;" cubic feet."</f>
        <v>Dark as a sealed room. Volume is 8500 cubic feet.</v>
      </c>
    </row>
    <row r="293" spans="1:9" ht="12.75">
      <c r="A293" s="99" t="s">
        <v>400</v>
      </c>
      <c r="B293" s="99" t="s">
        <v>67</v>
      </c>
      <c r="C293" t="s">
        <v>410</v>
      </c>
      <c r="D293">
        <v>75</v>
      </c>
      <c r="E293">
        <v>50</v>
      </c>
      <c r="F293">
        <f>E293+3*Investments!$C$7+Investments!$C$16+Investments!$C$17</f>
        <v>118</v>
      </c>
      <c r="G293" t="str">
        <f>15+15*Investments!$C$7&amp;" feet"</f>
        <v>240 feet</v>
      </c>
      <c r="H293" t="str">
        <f>15*Investments!$C$7&amp;" minutes"</f>
        <v>225 minutes</v>
      </c>
      <c r="I293" t="s">
        <v>623</v>
      </c>
    </row>
    <row r="294" spans="1:9" ht="12.75">
      <c r="A294" s="99" t="s">
        <v>400</v>
      </c>
      <c r="B294" s="99" t="s">
        <v>68</v>
      </c>
      <c r="C294" t="s">
        <v>411</v>
      </c>
      <c r="D294">
        <v>75</v>
      </c>
      <c r="E294">
        <v>40</v>
      </c>
      <c r="F294">
        <f>E294+3*Investments!$C$7+Investments!$C$16+Investments!$C$17</f>
        <v>108</v>
      </c>
      <c r="G294" t="s">
        <v>638</v>
      </c>
      <c r="H294" t="s">
        <v>629</v>
      </c>
      <c r="I294" t="s">
        <v>623</v>
      </c>
    </row>
    <row r="295" spans="1:9" ht="12.75">
      <c r="A295" s="99" t="s">
        <v>400</v>
      </c>
      <c r="B295" s="99" t="s">
        <v>69</v>
      </c>
      <c r="C295" t="s">
        <v>412</v>
      </c>
      <c r="D295">
        <v>500</v>
      </c>
      <c r="E295">
        <v>20</v>
      </c>
      <c r="F295">
        <f>E295+3*Investments!$C$7+Investments!$C$16+Investments!$C$17</f>
        <v>88</v>
      </c>
      <c r="G295" t="s">
        <v>638</v>
      </c>
      <c r="H295" t="s">
        <v>667</v>
      </c>
      <c r="I295" t="s">
        <v>623</v>
      </c>
    </row>
    <row r="296" spans="1:9" ht="12.75">
      <c r="A296" s="99" t="s">
        <v>400</v>
      </c>
      <c r="B296" s="99" t="s">
        <v>70</v>
      </c>
      <c r="C296" t="s">
        <v>413</v>
      </c>
      <c r="D296">
        <v>250</v>
      </c>
      <c r="E296">
        <v>30</v>
      </c>
      <c r="F296">
        <f>E296+3*Investments!$C$7+Investments!$C$16+Investments!$C$17</f>
        <v>98</v>
      </c>
      <c r="G296" t="s">
        <v>622</v>
      </c>
      <c r="H296" t="s">
        <v>667</v>
      </c>
      <c r="I296" t="s">
        <v>623</v>
      </c>
    </row>
    <row r="297" spans="1:9" ht="12.75">
      <c r="A297" s="99" t="s">
        <v>400</v>
      </c>
      <c r="B297" s="99" t="s">
        <v>71</v>
      </c>
      <c r="C297" t="s">
        <v>414</v>
      </c>
      <c r="D297">
        <v>550</v>
      </c>
      <c r="E297">
        <v>10</v>
      </c>
      <c r="F297">
        <f>E297+3*Investments!$C$7+Investments!$C$16+Investments!$C$17</f>
        <v>78</v>
      </c>
      <c r="G297" t="s">
        <v>638</v>
      </c>
      <c r="H297" t="s">
        <v>690</v>
      </c>
      <c r="I297" t="s">
        <v>623</v>
      </c>
    </row>
    <row r="298" spans="1:10" ht="12.75">
      <c r="A298" s="99" t="s">
        <v>400</v>
      </c>
      <c r="B298" s="99" t="s">
        <v>72</v>
      </c>
      <c r="C298" t="s">
        <v>415</v>
      </c>
      <c r="D298">
        <v>200</v>
      </c>
      <c r="E298">
        <v>30</v>
      </c>
      <c r="F298">
        <f>E298+3*Investments!$C$7+Investments!$C$16+Investments!$C$17</f>
        <v>98</v>
      </c>
      <c r="G298" t="s">
        <v>638</v>
      </c>
      <c r="H298" t="s">
        <v>629</v>
      </c>
      <c r="I298" t="s">
        <v>623</v>
      </c>
      <c r="J298" t="str">
        <f>"Purify "&amp;1+Investments!$C$7&amp;" quarts of aqueous liquid."</f>
        <v>Purify 16 quarts of aqueous liquid.</v>
      </c>
    </row>
    <row r="299" spans="1:10" ht="12.75">
      <c r="A299" s="99" t="s">
        <v>400</v>
      </c>
      <c r="B299" s="99" t="s">
        <v>73</v>
      </c>
      <c r="C299" t="s">
        <v>416</v>
      </c>
      <c r="D299">
        <v>200</v>
      </c>
      <c r="E299">
        <v>30</v>
      </c>
      <c r="F299">
        <f>E299+3*Investments!$C$7+Investments!$C$16+Investments!$C$17</f>
        <v>98</v>
      </c>
      <c r="G299" t="s">
        <v>638</v>
      </c>
      <c r="H299" t="s">
        <v>667</v>
      </c>
      <c r="I299" t="s">
        <v>623</v>
      </c>
      <c r="J299" t="str">
        <f>IF(Investments!$C$7&lt;6,"Difficulty Factor = 1",IF(Investments!$C$7&lt;11,"Difficulty Factor = 1.5","Difficulty Factor = 1.0"))</f>
        <v>Difficulty Factor = 1.0</v>
      </c>
    </row>
    <row r="300" spans="1:9" ht="12.75">
      <c r="A300" s="99" t="s">
        <v>400</v>
      </c>
      <c r="B300" s="99" t="s">
        <v>74</v>
      </c>
      <c r="C300" t="s">
        <v>417</v>
      </c>
      <c r="D300">
        <v>300</v>
      </c>
      <c r="E300">
        <v>30</v>
      </c>
      <c r="F300">
        <f>E300+3*Investments!$C$7+Investments!$C$16+Investments!$C$17</f>
        <v>98</v>
      </c>
      <c r="G300" t="str">
        <f>15+15*Investments!$C$7&amp;" feet"</f>
        <v>240 feet</v>
      </c>
      <c r="H300" t="s">
        <v>667</v>
      </c>
      <c r="I300" s="139" t="str">
        <f>"[D-2] + "&amp;Investments!$C$7&amp;" if Yew"</f>
        <v>[D-2] + 15 if Yew</v>
      </c>
    </row>
    <row r="301" spans="1:9" ht="12.75">
      <c r="A301" s="99" t="s">
        <v>400</v>
      </c>
      <c r="B301" s="99" t="s">
        <v>75</v>
      </c>
      <c r="C301" t="s">
        <v>418</v>
      </c>
      <c r="D301">
        <v>100</v>
      </c>
      <c r="F301" t="s">
        <v>685</v>
      </c>
      <c r="G301" t="s">
        <v>638</v>
      </c>
      <c r="H301" t="s">
        <v>629</v>
      </c>
      <c r="I301" t="s">
        <v>623</v>
      </c>
    </row>
    <row r="302" spans="1:10" ht="12.75">
      <c r="A302" s="99" t="s">
        <v>400</v>
      </c>
      <c r="B302" s="99" t="s">
        <v>76</v>
      </c>
      <c r="C302" t="s">
        <v>419</v>
      </c>
      <c r="D302">
        <v>300</v>
      </c>
      <c r="E302">
        <v>50</v>
      </c>
      <c r="F302">
        <f>E302+3*Investments!$C$7+Investments!$C$16+Investments!$C$17</f>
        <v>118</v>
      </c>
      <c r="G302" t="s">
        <v>638</v>
      </c>
      <c r="H302" t="s">
        <v>667</v>
      </c>
      <c r="I302" t="s">
        <v>623</v>
      </c>
      <c r="J302" t="s">
        <v>691</v>
      </c>
    </row>
    <row r="303" spans="1:39" ht="12.75">
      <c r="A303" s="99" t="s">
        <v>400</v>
      </c>
      <c r="B303" s="99" t="s">
        <v>77</v>
      </c>
      <c r="C303" t="s">
        <v>420</v>
      </c>
      <c r="D303">
        <v>250</v>
      </c>
      <c r="E303">
        <v>30</v>
      </c>
      <c r="F303">
        <f>E303+3*Investments!$C$7+Investments!$C$16+Investments!$C$17</f>
        <v>98</v>
      </c>
      <c r="G303" t="str">
        <f>2+2*Investments!$C$7&amp;" miles"</f>
        <v>32 miles</v>
      </c>
      <c r="H303" t="str">
        <f>5+5*Investments!$C$7&amp;" minutes"</f>
        <v>80 minutes</v>
      </c>
      <c r="I303" t="s">
        <v>623</v>
      </c>
      <c r="AM303" s="153" t="s">
        <v>856</v>
      </c>
    </row>
    <row r="304" spans="1:40" ht="12.75">
      <c r="A304" s="99" t="s">
        <v>400</v>
      </c>
      <c r="B304" s="99" t="s">
        <v>78</v>
      </c>
      <c r="C304" t="s">
        <v>421</v>
      </c>
      <c r="D304">
        <v>300</v>
      </c>
      <c r="E304">
        <v>30</v>
      </c>
      <c r="F304">
        <f>E304+3*Investments!$C$7+Investments!$C$16+Investments!$C$17</f>
        <v>98</v>
      </c>
      <c r="G304" t="s">
        <v>638</v>
      </c>
      <c r="H304" t="str">
        <f>1+Investments!$C$7&amp;" hours"</f>
        <v>16 hours</v>
      </c>
      <c r="I304" t="s">
        <v>623</v>
      </c>
      <c r="AM304" s="99" t="s">
        <v>866</v>
      </c>
      <c r="AN304" s="99">
        <v>20</v>
      </c>
    </row>
    <row r="305" spans="1:40" ht="12.75">
      <c r="A305" s="99" t="s">
        <v>400</v>
      </c>
      <c r="B305" s="99" t="s">
        <v>79</v>
      </c>
      <c r="C305" t="s">
        <v>422</v>
      </c>
      <c r="D305">
        <v>300</v>
      </c>
      <c r="E305">
        <v>30</v>
      </c>
      <c r="F305">
        <f>E305+3*Investments!$C$7+Investments!$C$16+Investments!$C$17</f>
        <v>98</v>
      </c>
      <c r="G305" t="s">
        <v>638</v>
      </c>
      <c r="H305" t="s">
        <v>629</v>
      </c>
      <c r="I305" t="s">
        <v>623</v>
      </c>
      <c r="J305" t="s">
        <v>666</v>
      </c>
      <c r="AM305" s="99" t="s">
        <v>861</v>
      </c>
      <c r="AN305" s="99">
        <v>12</v>
      </c>
    </row>
    <row r="306" spans="1:40" ht="12.75">
      <c r="A306" s="99" t="s">
        <v>400</v>
      </c>
      <c r="B306" s="99" t="s">
        <v>80</v>
      </c>
      <c r="C306" t="s">
        <v>423</v>
      </c>
      <c r="D306">
        <v>300</v>
      </c>
      <c r="E306">
        <v>15</v>
      </c>
      <c r="F306">
        <f>E306+3*Investments!$C$7+Investments!$C$16+Investments!$C$17</f>
        <v>83</v>
      </c>
      <c r="G306" t="s">
        <v>638</v>
      </c>
      <c r="H306" t="s">
        <v>629</v>
      </c>
      <c r="I306" s="139" t="str">
        <f>"[D-3] + "&amp;3*Investments!$C$7</f>
        <v>[D-3] + 45</v>
      </c>
      <c r="AM306" s="99" t="s">
        <v>863</v>
      </c>
      <c r="AN306" s="99">
        <v>10</v>
      </c>
    </row>
    <row r="307" spans="1:40" ht="12.75">
      <c r="A307" s="99" t="s">
        <v>400</v>
      </c>
      <c r="B307" s="99" t="s">
        <v>81</v>
      </c>
      <c r="C307" t="s">
        <v>424</v>
      </c>
      <c r="D307">
        <v>400</v>
      </c>
      <c r="E307">
        <v>20</v>
      </c>
      <c r="F307">
        <f>E307+3*Investments!$C$7+Investments!$C$16+Investments!$C$17</f>
        <v>88</v>
      </c>
      <c r="G307" t="s">
        <v>638</v>
      </c>
      <c r="H307" t="s">
        <v>629</v>
      </c>
      <c r="I307" t="s">
        <v>623</v>
      </c>
      <c r="J307" s="139" t="str">
        <f>"[D-6]+"&amp;Investments!$C$7&amp;"/Pulse for D10 Pulses if Yew."</f>
        <v>[D-6]+15/Pulse for D10 Pulses if Yew.</v>
      </c>
      <c r="AM307" s="99" t="s">
        <v>864</v>
      </c>
      <c r="AN307" s="99">
        <v>8</v>
      </c>
    </row>
    <row r="308" spans="1:40" ht="12.75">
      <c r="A308" s="99" t="s">
        <v>400</v>
      </c>
      <c r="B308" s="99" t="s">
        <v>82</v>
      </c>
      <c r="C308" t="s">
        <v>425</v>
      </c>
      <c r="D308">
        <v>600</v>
      </c>
      <c r="E308">
        <v>20</v>
      </c>
      <c r="F308">
        <f>E308+3*Investments!$C$7+Investments!$C$16+Investments!$C$17</f>
        <v>88</v>
      </c>
      <c r="G308" t="s">
        <v>638</v>
      </c>
      <c r="H308" t="str">
        <f>30+5*Investments!$C$7&amp;" minutes"</f>
        <v>105 minutes</v>
      </c>
      <c r="I308" t="s">
        <v>623</v>
      </c>
      <c r="J308" s="139" t="str">
        <f>"May bind "&amp;500+500*Investments!$C$7&amp;" lbs Earth, "&amp;500+500*Investments!$C$7&amp;" Gal. Water, "&amp;1000+500*Investments!$C$7&amp;" ft^3 Air, "&amp;10+15*Investments!$C$7&amp;" radius of Fire"</f>
        <v>May bind 8000 lbs Earth, 8000 Gal. Water, 8500 ft^3 Air, 235 radius of Fire</v>
      </c>
      <c r="AM308" s="99" t="s">
        <v>860</v>
      </c>
      <c r="AN308" s="99">
        <v>15</v>
      </c>
    </row>
    <row r="309" spans="1:40" ht="12.75">
      <c r="A309" s="99" t="s">
        <v>426</v>
      </c>
      <c r="B309" s="99" t="s">
        <v>64</v>
      </c>
      <c r="C309" t="s">
        <v>427</v>
      </c>
      <c r="D309">
        <v>100</v>
      </c>
      <c r="F309" s="138" t="str">
        <f>"3*MA + "&amp;3*Investments!$C$7+Investments!$C$16+Investments!$C$17</f>
        <v>3*MA + 68</v>
      </c>
      <c r="G309" t="str">
        <f>50+10*Investments!$C$7&amp;" feet"</f>
        <v>200 feet</v>
      </c>
      <c r="H309" t="s">
        <v>629</v>
      </c>
      <c r="I309" t="s">
        <v>623</v>
      </c>
      <c r="J309" s="139" t="str">
        <f>"Cast Chance is 4*MA + "&amp;3*Investments!$C$7+Investments!$C$16+Investments!$C$17&amp;" if touched."</f>
        <v>Cast Chance is 4*MA + 68 if touched.</v>
      </c>
      <c r="AM309" s="99" t="s">
        <v>859</v>
      </c>
      <c r="AN309" s="99">
        <v>24</v>
      </c>
    </row>
    <row r="310" spans="1:40" ht="12.75">
      <c r="A310" s="99" t="s">
        <v>426</v>
      </c>
      <c r="B310" s="99" t="s">
        <v>65</v>
      </c>
      <c r="C310" t="s">
        <v>428</v>
      </c>
      <c r="D310">
        <v>200</v>
      </c>
      <c r="E310">
        <v>50</v>
      </c>
      <c r="F310">
        <f>E310+3*Investments!$C$7+Investments!$C$16+Investments!$C$17</f>
        <v>118</v>
      </c>
      <c r="G310" t="s">
        <v>638</v>
      </c>
      <c r="H310" t="s">
        <v>629</v>
      </c>
      <c r="I310" t="s">
        <v>623</v>
      </c>
      <c r="J310" s="139" t="str">
        <f>"Can mend  "&amp;10+10*Investments!$C$7&amp;" pounds."</f>
        <v>Can mend  160 pounds.</v>
      </c>
      <c r="AM310" s="99" t="s">
        <v>862</v>
      </c>
      <c r="AN310" s="99">
        <v>6</v>
      </c>
    </row>
    <row r="311" spans="1:40" ht="12.75">
      <c r="A311" s="99" t="s">
        <v>426</v>
      </c>
      <c r="B311" s="99" t="s">
        <v>66</v>
      </c>
      <c r="C311" t="s">
        <v>429</v>
      </c>
      <c r="D311">
        <v>200</v>
      </c>
      <c r="E311">
        <v>35</v>
      </c>
      <c r="F311">
        <f>E311+3*Investments!$C$7+Investments!$C$16+Investments!$C$17</f>
        <v>103</v>
      </c>
      <c r="G311" t="str">
        <f>10+5*Investments!$C$7&amp;" feet"</f>
        <v>85 feet</v>
      </c>
      <c r="H311" t="str">
        <f>"[D-2] * "&amp;30*Investments!$C$7&amp;" seconds."</f>
        <v>[D-2] * 450 seconds.</v>
      </c>
      <c r="I311" t="str">
        <f>"+ "&amp;1+ROUNDUP(Investments!$C$7/3,0)</f>
        <v>+ 6</v>
      </c>
      <c r="J311" s="139" t="str">
        <f>"Strike Chance increased by "&amp;1+1*Investments!$C$7&amp;"%"</f>
        <v>Strike Chance increased by 16%</v>
      </c>
      <c r="AM311" s="99" t="s">
        <v>857</v>
      </c>
      <c r="AN311" s="99">
        <v>3</v>
      </c>
    </row>
    <row r="312" spans="1:40" ht="12.75">
      <c r="A312" s="99" t="s">
        <v>426</v>
      </c>
      <c r="B312" s="99" t="s">
        <v>67</v>
      </c>
      <c r="C312" t="s">
        <v>430</v>
      </c>
      <c r="D312">
        <v>200</v>
      </c>
      <c r="E312">
        <v>30</v>
      </c>
      <c r="F312">
        <f>E312+3*Investments!$C$7+Investments!$C$16+Investments!$C$17</f>
        <v>98</v>
      </c>
      <c r="G312" t="str">
        <f>10+10*Investments!$C$7&amp;" feet"</f>
        <v>160 feet</v>
      </c>
      <c r="H312" t="str">
        <f>30+30*Investments!$C$7&amp;" minutes"</f>
        <v>480 minutes</v>
      </c>
      <c r="I312" t="s">
        <v>623</v>
      </c>
      <c r="J312" s="139" t="str">
        <f>"Defense increased by "&amp;2*Investments!$C$7&amp;"% and absorbs "&amp;1+ROUNDUP(Investments!$C$7/4,0)&amp;" points of damage."</f>
        <v>Defense increased by 30% and absorbs 5 points of damage.</v>
      </c>
      <c r="AM312" s="99" t="s">
        <v>865</v>
      </c>
      <c r="AN312" s="99">
        <v>5</v>
      </c>
    </row>
    <row r="313" spans="1:40" ht="12.75">
      <c r="A313" s="99" t="s">
        <v>426</v>
      </c>
      <c r="B313" s="99" t="s">
        <v>68</v>
      </c>
      <c r="C313" t="s">
        <v>431</v>
      </c>
      <c r="D313">
        <v>300</v>
      </c>
      <c r="E313">
        <v>30</v>
      </c>
      <c r="F313">
        <f>E313+3*Investments!$C$7+Investments!$C$16+Investments!$C$17</f>
        <v>98</v>
      </c>
      <c r="G313" t="str">
        <f>20+10*Investments!$C$7&amp;" feet"</f>
        <v>170 feet</v>
      </c>
      <c r="H313" t="str">
        <f>20+10*Investments!$C$7&amp;" seconds"</f>
        <v>170 seconds</v>
      </c>
      <c r="I313" t="s">
        <v>623</v>
      </c>
      <c r="J313" t="s">
        <v>692</v>
      </c>
      <c r="AM313" s="99" t="s">
        <v>858</v>
      </c>
      <c r="AN313" s="99">
        <v>10</v>
      </c>
    </row>
    <row r="314" spans="1:40" ht="12.75">
      <c r="A314" s="99" t="s">
        <v>426</v>
      </c>
      <c r="B314" s="99" t="s">
        <v>69</v>
      </c>
      <c r="C314" t="s">
        <v>432</v>
      </c>
      <c r="D314">
        <v>400</v>
      </c>
      <c r="E314">
        <v>30</v>
      </c>
      <c r="F314">
        <f>E314+3*Investments!$C$7+Investments!$C$16+Investments!$C$17</f>
        <v>98</v>
      </c>
      <c r="G314" t="str">
        <f>20+15*Investments!$C$7&amp;" feet"</f>
        <v>245 feet</v>
      </c>
      <c r="H314" t="str">
        <f>60+30*Investments!$C$7&amp;" seconds"</f>
        <v>510 seconds</v>
      </c>
      <c r="I314" t="s">
        <v>623</v>
      </c>
      <c r="J314" s="139" t="str">
        <f>"Effects a volume of "&amp;50+10*Investments!$C$7&amp;" cubic feet of water."</f>
        <v>Effects a volume of 200 cubic feet of water.</v>
      </c>
      <c r="AM314" s="99" t="s">
        <v>867</v>
      </c>
      <c r="AN314" s="99">
        <v>2</v>
      </c>
    </row>
    <row r="315" spans="1:10" ht="12.75">
      <c r="A315" s="99" t="s">
        <v>426</v>
      </c>
      <c r="B315" s="99" t="s">
        <v>74</v>
      </c>
      <c r="C315" t="s">
        <v>433</v>
      </c>
      <c r="D315">
        <v>300</v>
      </c>
      <c r="E315">
        <v>30</v>
      </c>
      <c r="F315">
        <f>E315+3*Investments!$C$7+Investments!$C$16+Investments!$C$17</f>
        <v>98</v>
      </c>
      <c r="G315" t="str">
        <f>30+15*Investments!$C$7&amp;" feet"</f>
        <v>255 feet</v>
      </c>
      <c r="H315" t="str">
        <f>30+10*Investments!$C$7&amp;" seconds"</f>
        <v>180 seconds</v>
      </c>
      <c r="I315" t="s">
        <v>623</v>
      </c>
      <c r="J315" s="139" t="str">
        <f>"Effects an area of "&amp;20+10*Investments!$C$7&amp;" square feet."</f>
        <v>Effects an area of 170 square feet.</v>
      </c>
    </row>
    <row r="316" spans="1:10" ht="12.75">
      <c r="A316" s="99" t="s">
        <v>426</v>
      </c>
      <c r="B316" s="99" t="s">
        <v>75</v>
      </c>
      <c r="C316" t="s">
        <v>434</v>
      </c>
      <c r="D316">
        <v>400</v>
      </c>
      <c r="E316">
        <v>10</v>
      </c>
      <c r="F316">
        <f>E316+3*Investments!$C$7+Investments!$C$16+Investments!$C$17</f>
        <v>78</v>
      </c>
      <c r="G316" t="str">
        <f>30+10*Investments!$C$7&amp;" feet"</f>
        <v>180 feet</v>
      </c>
      <c r="H316" t="str">
        <f>5+Investments!$C$7&amp;" minutes"</f>
        <v>20 minutes</v>
      </c>
      <c r="I316" t="s">
        <v>623</v>
      </c>
      <c r="J316" s="139" t="str">
        <f>"Effects a volume of "&amp;2*Investments!$C$7&amp;" cubic feet."</f>
        <v>Effects a volume of 30 cubic feet.</v>
      </c>
    </row>
    <row r="317" spans="1:39" ht="12.75">
      <c r="A317" s="99" t="s">
        <v>426</v>
      </c>
      <c r="B317" s="99" t="s">
        <v>76</v>
      </c>
      <c r="C317" t="s">
        <v>435</v>
      </c>
      <c r="D317">
        <v>350</v>
      </c>
      <c r="E317">
        <v>20</v>
      </c>
      <c r="F317">
        <f>E317+3*Investments!$C$7+Investments!$C$16+Investments!$C$17</f>
        <v>88</v>
      </c>
      <c r="G317" t="str">
        <f>10+5*Investments!$C$7&amp;" feet"</f>
        <v>85 feet</v>
      </c>
      <c r="H317" t="s">
        <v>629</v>
      </c>
      <c r="I317" t="s">
        <v>623</v>
      </c>
      <c r="AM317" s="153" t="s">
        <v>868</v>
      </c>
    </row>
    <row r="318" spans="1:40" ht="12.75">
      <c r="A318" s="99" t="s">
        <v>426</v>
      </c>
      <c r="B318" s="99" t="s">
        <v>77</v>
      </c>
      <c r="C318" t="s">
        <v>436</v>
      </c>
      <c r="D318">
        <v>400</v>
      </c>
      <c r="E318">
        <v>15</v>
      </c>
      <c r="F318">
        <f>E318+3*Investments!$C$7+Investments!$C$16+Investments!$C$17</f>
        <v>83</v>
      </c>
      <c r="G318" t="str">
        <f>15+5*Investments!$C$7&amp;" feet"</f>
        <v>90 feet</v>
      </c>
      <c r="H318" t="str">
        <f>10+5*Investments!$C$7&amp;" minutes"</f>
        <v>85 minutes</v>
      </c>
      <c r="I318" t="s">
        <v>623</v>
      </c>
      <c r="AM318" s="99" t="s">
        <v>881</v>
      </c>
      <c r="AN318" s="99">
        <v>350</v>
      </c>
    </row>
    <row r="319" spans="1:40" ht="12.75">
      <c r="A319" s="99" t="s">
        <v>426</v>
      </c>
      <c r="B319" s="99" t="s">
        <v>78</v>
      </c>
      <c r="C319" t="s">
        <v>437</v>
      </c>
      <c r="D319">
        <v>450</v>
      </c>
      <c r="E319">
        <v>15</v>
      </c>
      <c r="F319">
        <f>E319+3*Investments!$C$7+Investments!$C$16+Investments!$C$17</f>
        <v>83</v>
      </c>
      <c r="G319" t="s">
        <v>670</v>
      </c>
      <c r="H319" t="s">
        <v>693</v>
      </c>
      <c r="I319" t="s">
        <v>623</v>
      </c>
      <c r="J319" s="139" t="str">
        <f>"Must roll under 2x[WP + "&amp;Investments!$C$7&amp;"] to gain control."</f>
        <v>Must roll under 2x[WP + 15] to gain control.</v>
      </c>
      <c r="AM319" s="99" t="s">
        <v>874</v>
      </c>
      <c r="AN319" s="99">
        <v>30</v>
      </c>
    </row>
    <row r="320" spans="1:40" ht="12.75">
      <c r="A320" s="99" t="s">
        <v>361</v>
      </c>
      <c r="B320" s="99"/>
      <c r="C320" t="s">
        <v>362</v>
      </c>
      <c r="D320">
        <v>100</v>
      </c>
      <c r="E320">
        <v>40</v>
      </c>
      <c r="F320">
        <f>E320+3*Investments!$C$7+Investments!$C$16+Investments!$C$17</f>
        <v>108</v>
      </c>
      <c r="G320" t="str">
        <f>25+25*Investments!$C$7&amp;" feet"</f>
        <v>400 feet</v>
      </c>
      <c r="H320" t="str">
        <f>"[D+5] + "&amp;30*Investments!$C$7&amp;" minutes"</f>
        <v>[D+5] + 450 minutes</v>
      </c>
      <c r="I320" t="s">
        <v>623</v>
      </c>
      <c r="J320" s="139" t="str">
        <f>"MR increased by "&amp;30+3*Investments!$C$7&amp;"%."</f>
        <v>MR increased by 75%.</v>
      </c>
      <c r="AM320" s="99" t="s">
        <v>878</v>
      </c>
      <c r="AN320" s="99">
        <v>150</v>
      </c>
    </row>
    <row r="321" spans="1:40" ht="12.75">
      <c r="A321" s="99" t="s">
        <v>361</v>
      </c>
      <c r="C321" t="s">
        <v>363</v>
      </c>
      <c r="D321">
        <v>200</v>
      </c>
      <c r="E321">
        <v>40</v>
      </c>
      <c r="F321">
        <f>E321+3*Investments!$C$7+Investments!$C$16+Investments!$C$17</f>
        <v>108</v>
      </c>
      <c r="G321" t="str">
        <f>25+25*Investments!$C$7&amp;" feet"</f>
        <v>400 feet</v>
      </c>
      <c r="H321" t="str">
        <f>"[D+5] + "&amp;30*Investments!$C$7&amp;" minutes"</f>
        <v>[D+5] + 450 minutes</v>
      </c>
      <c r="I321" t="s">
        <v>623</v>
      </c>
      <c r="J321" s="139" t="str">
        <f>"MR increased by "&amp;30+3*Investments!$C$7&amp;"%."</f>
        <v>MR increased by 75%.</v>
      </c>
      <c r="AM321" s="99" t="s">
        <v>880</v>
      </c>
      <c r="AN321" s="99">
        <v>75</v>
      </c>
    </row>
    <row r="322" spans="1:40" ht="12.75">
      <c r="A322" s="99" t="s">
        <v>361</v>
      </c>
      <c r="C322" t="s">
        <v>364</v>
      </c>
      <c r="D322">
        <v>250</v>
      </c>
      <c r="F322" t="s">
        <v>633</v>
      </c>
      <c r="G322" t="s">
        <v>622</v>
      </c>
      <c r="H322" t="s">
        <v>694</v>
      </c>
      <c r="I322" t="s">
        <v>623</v>
      </c>
      <c r="AM322" s="99" t="s">
        <v>876</v>
      </c>
      <c r="AN322" s="99">
        <v>65</v>
      </c>
    </row>
    <row r="323" spans="1:40" ht="12.75">
      <c r="A323" s="99" t="s">
        <v>361</v>
      </c>
      <c r="C323" t="s">
        <v>365</v>
      </c>
      <c r="D323">
        <v>750</v>
      </c>
      <c r="E323">
        <v>15</v>
      </c>
      <c r="F323">
        <f>E323+3*Investments!$C$7+Investments!$C$16+Investments!$C$17</f>
        <v>83</v>
      </c>
      <c r="G323" t="str">
        <f>20+15*Investments!$C$7&amp;" feet"</f>
        <v>245 feet</v>
      </c>
      <c r="H323" t="s">
        <v>695</v>
      </c>
      <c r="I323" t="s">
        <v>623</v>
      </c>
      <c r="AM323" s="99" t="s">
        <v>875</v>
      </c>
      <c r="AN323" s="99">
        <v>40</v>
      </c>
    </row>
    <row r="324" spans="39:40" ht="12.75">
      <c r="AM324" s="99" t="s">
        <v>870</v>
      </c>
      <c r="AN324" s="99">
        <f>12*85</f>
        <v>1020</v>
      </c>
    </row>
    <row r="325" spans="39:40" ht="12.75">
      <c r="AM325" s="99" t="s">
        <v>871</v>
      </c>
      <c r="AN325" s="99">
        <v>90</v>
      </c>
    </row>
    <row r="326" spans="39:40" ht="12.75">
      <c r="AM326" s="99" t="s">
        <v>872</v>
      </c>
      <c r="AN326" s="99">
        <v>100</v>
      </c>
    </row>
    <row r="327" spans="39:40" ht="12.75">
      <c r="AM327" s="99" t="s">
        <v>879</v>
      </c>
      <c r="AN327" s="99">
        <v>60</v>
      </c>
    </row>
    <row r="328" spans="39:40" ht="12.75">
      <c r="AM328" s="99" t="s">
        <v>877</v>
      </c>
      <c r="AN328" s="99">
        <v>200</v>
      </c>
    </row>
    <row r="329" spans="39:40" ht="12.75">
      <c r="AM329" s="99" t="s">
        <v>869</v>
      </c>
      <c r="AN329" s="99">
        <v>4800</v>
      </c>
    </row>
    <row r="330" spans="39:40" ht="12.75">
      <c r="AM330" s="99" t="s">
        <v>873</v>
      </c>
      <c r="AN330" s="99">
        <v>50</v>
      </c>
    </row>
    <row r="351" ht="12.75">
      <c r="AM351" s="153" t="s">
        <v>882</v>
      </c>
    </row>
    <row r="352" spans="39:40" ht="12.75">
      <c r="AM352" s="99" t="s">
        <v>23</v>
      </c>
      <c r="AN352" s="99">
        <v>10</v>
      </c>
    </row>
    <row r="353" spans="39:40" ht="12.75">
      <c r="AM353" s="99" t="s">
        <v>883</v>
      </c>
      <c r="AN353" s="99">
        <v>10</v>
      </c>
    </row>
    <row r="354" spans="39:40" ht="12.75">
      <c r="AM354" s="99" t="s">
        <v>884</v>
      </c>
      <c r="AN354" s="99">
        <v>20</v>
      </c>
    </row>
    <row r="355" spans="39:40" ht="12.75">
      <c r="AM355" s="99" t="s">
        <v>885</v>
      </c>
      <c r="AN355" s="99">
        <v>15</v>
      </c>
    </row>
    <row r="376" ht="12.75">
      <c r="AM376" s="99" t="s">
        <v>922</v>
      </c>
    </row>
  </sheetData>
  <sheetProtection/>
  <mergeCells count="2">
    <mergeCell ref="A1:D1"/>
    <mergeCell ref="M1:X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K. McGonagill</dc:creator>
  <cp:keywords/>
  <dc:description/>
  <cp:lastModifiedBy>David B Novak</cp:lastModifiedBy>
  <dcterms:created xsi:type="dcterms:W3CDTF">2007-03-28T15:00:55Z</dcterms:created>
  <dcterms:modified xsi:type="dcterms:W3CDTF">2009-08-12T20:08:49Z</dcterms:modified>
  <cp:category/>
  <cp:version/>
  <cp:contentType/>
  <cp:contentStatus/>
</cp:coreProperties>
</file>